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E:\Planning\Rule Review\7.015 Total Phosphorus Rule Making\7.015 Examples\"/>
    </mc:Choice>
  </mc:AlternateContent>
  <xr:revisionPtr revIDLastSave="0" documentId="13_ncr:1_{7DC50F61-BA2D-438E-BE75-A5CCC73BC980}" xr6:coauthVersionLast="47" xr6:coauthVersionMax="47" xr10:uidLastSave="{00000000-0000-0000-0000-000000000000}"/>
  <bookViews>
    <workbookView xWindow="20370" yWindow="-2190" windowWidth="24240" windowHeight="13140" xr2:uid="{00000000-000D-0000-FFFF-FFFF00000000}"/>
  </bookViews>
  <sheets>
    <sheet name="In compliance" sheetId="1" r:id="rId1"/>
    <sheet name="Calculating Design Flow Limit" sheetId="8" r:id="rId2"/>
    <sheet name="Calculating the 75% Limit" sheetId="3" r:id="rId3"/>
    <sheet name="In compliance mass on design" sheetId="5" r:id="rId4"/>
    <sheet name="Using Credits" sheetId="2" r:id="rId5"/>
    <sheet name="DRAFT" sheetId="9"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5" l="1"/>
  <c r="F4" i="5"/>
  <c r="F5" i="5"/>
  <c r="F6" i="5"/>
  <c r="G17" i="5" s="1"/>
  <c r="F7" i="5"/>
  <c r="G18" i="5" s="1"/>
  <c r="F8" i="5"/>
  <c r="G19" i="5" s="1"/>
  <c r="F9" i="5"/>
  <c r="G20" i="5" s="1"/>
  <c r="F10" i="5"/>
  <c r="G21" i="5" s="1"/>
  <c r="F11" i="5"/>
  <c r="F12" i="5"/>
  <c r="F13" i="5"/>
  <c r="F14" i="5"/>
  <c r="G25" i="5" s="1"/>
  <c r="F15" i="5"/>
  <c r="G26" i="5" s="1"/>
  <c r="F16" i="5"/>
  <c r="G27" i="5" s="1"/>
  <c r="F17" i="5"/>
  <c r="G28" i="5" s="1"/>
  <c r="F18" i="5"/>
  <c r="G29" i="5" s="1"/>
  <c r="F19" i="5"/>
  <c r="F20" i="5"/>
  <c r="F21" i="5"/>
  <c r="F22" i="5"/>
  <c r="G33" i="5" s="1"/>
  <c r="F23" i="5"/>
  <c r="G34" i="5" s="1"/>
  <c r="F24" i="5"/>
  <c r="G31" i="5" s="1"/>
  <c r="F25" i="5"/>
  <c r="G32" i="5" s="1"/>
  <c r="F26" i="5"/>
  <c r="G37" i="5" s="1"/>
  <c r="F27" i="5"/>
  <c r="F28" i="5"/>
  <c r="F29" i="5"/>
  <c r="F30" i="5"/>
  <c r="F31" i="5"/>
  <c r="F32" i="5"/>
  <c r="F33" i="5"/>
  <c r="F34" i="5"/>
  <c r="F35" i="5"/>
  <c r="F36" i="5"/>
  <c r="F37" i="5"/>
  <c r="F2" i="5"/>
  <c r="G13" i="5" s="1"/>
  <c r="G30" i="5" l="1"/>
  <c r="G22" i="5"/>
  <c r="G15" i="5"/>
  <c r="G24" i="5"/>
  <c r="G23" i="5"/>
  <c r="G36" i="5"/>
  <c r="G14" i="5"/>
  <c r="G16" i="5"/>
  <c r="G35" i="5"/>
  <c r="F3" i="2" l="1"/>
  <c r="G14" i="2" s="1"/>
  <c r="F4" i="2"/>
  <c r="F5" i="2"/>
  <c r="F6" i="2"/>
  <c r="F7" i="2"/>
  <c r="F8" i="2"/>
  <c r="F9" i="2"/>
  <c r="F10" i="2"/>
  <c r="F11" i="2"/>
  <c r="F12" i="2"/>
  <c r="G23" i="2" s="1"/>
  <c r="F13" i="2"/>
  <c r="F14" i="2"/>
  <c r="F15" i="2"/>
  <c r="G26" i="2" s="1"/>
  <c r="F16" i="2"/>
  <c r="F17" i="2"/>
  <c r="F18" i="2"/>
  <c r="F19" i="2"/>
  <c r="F20" i="2"/>
  <c r="F21" i="2"/>
  <c r="F22" i="2"/>
  <c r="F23" i="2"/>
  <c r="G29" i="2" s="1"/>
  <c r="F24" i="2"/>
  <c r="F25" i="2"/>
  <c r="F26" i="2"/>
  <c r="F27" i="2"/>
  <c r="F28" i="2"/>
  <c r="F29" i="2"/>
  <c r="F30" i="2"/>
  <c r="F31" i="2"/>
  <c r="G37" i="2" s="1"/>
  <c r="F32" i="2"/>
  <c r="F33" i="2"/>
  <c r="F34" i="2"/>
  <c r="F35" i="2"/>
  <c r="F36" i="2"/>
  <c r="F37" i="2"/>
  <c r="F2" i="2"/>
  <c r="F37" i="3"/>
  <c r="F36" i="3"/>
  <c r="F35" i="3"/>
  <c r="F34" i="3"/>
  <c r="F33" i="3"/>
  <c r="F32" i="3"/>
  <c r="F31" i="3"/>
  <c r="F30" i="3"/>
  <c r="F29" i="3"/>
  <c r="F28" i="3"/>
  <c r="F27" i="3"/>
  <c r="F26" i="3"/>
  <c r="F25" i="3"/>
  <c r="F24" i="3"/>
  <c r="F23" i="3"/>
  <c r="F22" i="3"/>
  <c r="F21" i="3"/>
  <c r="F20" i="3"/>
  <c r="F19" i="3"/>
  <c r="F18" i="3"/>
  <c r="F17" i="3"/>
  <c r="F16" i="3"/>
  <c r="F15" i="3"/>
  <c r="F14" i="3"/>
  <c r="G25" i="3" s="1"/>
  <c r="F13" i="3"/>
  <c r="F12" i="3"/>
  <c r="F11" i="3"/>
  <c r="F10" i="3"/>
  <c r="F9" i="3"/>
  <c r="F8" i="3"/>
  <c r="F7" i="3"/>
  <c r="F6" i="3"/>
  <c r="F5" i="3"/>
  <c r="F4" i="3"/>
  <c r="F3" i="3"/>
  <c r="F2" i="3"/>
  <c r="K37" i="9"/>
  <c r="K27" i="9"/>
  <c r="J3" i="9"/>
  <c r="K14" i="9" s="1"/>
  <c r="J4" i="9"/>
  <c r="K15" i="9" s="1"/>
  <c r="J5" i="9"/>
  <c r="K16" i="9" s="1"/>
  <c r="J6" i="9"/>
  <c r="K17" i="9" s="1"/>
  <c r="J7" i="9"/>
  <c r="K18" i="9" s="1"/>
  <c r="J8" i="9"/>
  <c r="J9" i="9"/>
  <c r="K20" i="9" s="1"/>
  <c r="J10" i="9"/>
  <c r="J11" i="9"/>
  <c r="K22" i="9" s="1"/>
  <c r="J12" i="9"/>
  <c r="K23" i="9" s="1"/>
  <c r="J13" i="9"/>
  <c r="K24" i="9" s="1"/>
  <c r="J14" i="9"/>
  <c r="K25" i="9" s="1"/>
  <c r="J15" i="9"/>
  <c r="K26" i="9" s="1"/>
  <c r="J16" i="9"/>
  <c r="J17" i="9"/>
  <c r="K28" i="9" s="1"/>
  <c r="J18" i="9"/>
  <c r="J19" i="9"/>
  <c r="K30" i="9" s="1"/>
  <c r="J20" i="9"/>
  <c r="K31" i="9" s="1"/>
  <c r="J21" i="9"/>
  <c r="K32" i="9" s="1"/>
  <c r="J22" i="9"/>
  <c r="K33" i="9" s="1"/>
  <c r="J23" i="9"/>
  <c r="K34" i="9" s="1"/>
  <c r="J24" i="9"/>
  <c r="J25" i="9"/>
  <c r="K36" i="9" s="1"/>
  <c r="J26" i="9"/>
  <c r="J27" i="9"/>
  <c r="J28" i="9"/>
  <c r="J29" i="9"/>
  <c r="J30" i="9"/>
  <c r="J31" i="9"/>
  <c r="K35" i="9" s="1"/>
  <c r="J32" i="9"/>
  <c r="J33" i="9"/>
  <c r="J34" i="9"/>
  <c r="J35" i="9"/>
  <c r="J36" i="9"/>
  <c r="J37" i="9"/>
  <c r="J2" i="9"/>
  <c r="K13" i="9" s="1"/>
  <c r="F37" i="9"/>
  <c r="C37" i="9"/>
  <c r="F36" i="9"/>
  <c r="C36" i="9"/>
  <c r="F35" i="9"/>
  <c r="C35" i="9"/>
  <c r="F34" i="9"/>
  <c r="C34" i="9"/>
  <c r="F33" i="9"/>
  <c r="C33" i="9"/>
  <c r="F32" i="9"/>
  <c r="C32" i="9"/>
  <c r="F31" i="9"/>
  <c r="C31" i="9"/>
  <c r="F30" i="9"/>
  <c r="C30" i="9"/>
  <c r="F29" i="9"/>
  <c r="C29" i="9"/>
  <c r="G28" i="9"/>
  <c r="I28" i="9" s="1"/>
  <c r="F28" i="9"/>
  <c r="C28" i="9"/>
  <c r="F27" i="9"/>
  <c r="C27" i="9"/>
  <c r="F26" i="9"/>
  <c r="C26" i="9"/>
  <c r="F25" i="9"/>
  <c r="C25" i="9"/>
  <c r="F24" i="9"/>
  <c r="G35" i="9" s="1"/>
  <c r="I35" i="9" s="1"/>
  <c r="C24" i="9"/>
  <c r="F23" i="9"/>
  <c r="G31" i="9" s="1"/>
  <c r="I31" i="9" s="1"/>
  <c r="C23" i="9"/>
  <c r="F22" i="9"/>
  <c r="G33" i="9" s="1"/>
  <c r="I33" i="9" s="1"/>
  <c r="C22" i="9"/>
  <c r="F21" i="9"/>
  <c r="G32" i="9" s="1"/>
  <c r="I32" i="9" s="1"/>
  <c r="C21" i="9"/>
  <c r="F20" i="9"/>
  <c r="C20" i="9"/>
  <c r="F19" i="9"/>
  <c r="G30" i="9" s="1"/>
  <c r="I30" i="9" s="1"/>
  <c r="C19" i="9"/>
  <c r="F18" i="9"/>
  <c r="G29" i="9" s="1"/>
  <c r="I29" i="9" s="1"/>
  <c r="C18" i="9"/>
  <c r="F17" i="9"/>
  <c r="C17" i="9"/>
  <c r="F16" i="9"/>
  <c r="G27" i="9" s="1"/>
  <c r="I27" i="9" s="1"/>
  <c r="C16" i="9"/>
  <c r="F15" i="9"/>
  <c r="G26" i="9" s="1"/>
  <c r="I26" i="9" s="1"/>
  <c r="C15" i="9"/>
  <c r="F14" i="9"/>
  <c r="G25" i="9" s="1"/>
  <c r="I25" i="9" s="1"/>
  <c r="C14" i="9"/>
  <c r="F13" i="9"/>
  <c r="G24" i="9" s="1"/>
  <c r="I24" i="9" s="1"/>
  <c r="C13" i="9"/>
  <c r="F12" i="9"/>
  <c r="F11" i="9"/>
  <c r="F10" i="9"/>
  <c r="F9" i="9"/>
  <c r="F8" i="9"/>
  <c r="F7" i="9"/>
  <c r="F6" i="9"/>
  <c r="F5" i="9"/>
  <c r="F4" i="9"/>
  <c r="F3" i="9"/>
  <c r="F2" i="9"/>
  <c r="G18" i="2" l="1"/>
  <c r="G13" i="2"/>
  <c r="G33" i="2"/>
  <c r="G25" i="2"/>
  <c r="G17" i="2"/>
  <c r="G24" i="2"/>
  <c r="G16" i="2"/>
  <c r="G32" i="2"/>
  <c r="G36" i="2"/>
  <c r="G28" i="2"/>
  <c r="G20" i="2"/>
  <c r="G35" i="2"/>
  <c r="G27" i="2"/>
  <c r="G19" i="2"/>
  <c r="G15" i="2"/>
  <c r="G30" i="2"/>
  <c r="G22" i="2"/>
  <c r="G21" i="2"/>
  <c r="G34" i="2"/>
  <c r="G31" i="2"/>
  <c r="G37" i="3"/>
  <c r="G13" i="3"/>
  <c r="G36" i="9"/>
  <c r="I36" i="9" s="1"/>
  <c r="K29" i="9"/>
  <c r="K21" i="9"/>
  <c r="G19" i="9"/>
  <c r="I19" i="9" s="1"/>
  <c r="G13" i="9"/>
  <c r="G23" i="9"/>
  <c r="I23" i="9" s="1"/>
  <c r="K19" i="9"/>
  <c r="G15" i="9"/>
  <c r="I15" i="9" s="1"/>
  <c r="G37" i="9"/>
  <c r="I37" i="9" s="1"/>
  <c r="G21" i="9"/>
  <c r="I21" i="9" s="1"/>
  <c r="G18" i="9"/>
  <c r="I18" i="9" s="1"/>
  <c r="I39" i="9"/>
  <c r="I41" i="9" s="1"/>
  <c r="I13" i="9"/>
  <c r="G17" i="9"/>
  <c r="I17" i="9" s="1"/>
  <c r="G20" i="9"/>
  <c r="I20" i="9" s="1"/>
  <c r="G16" i="9"/>
  <c r="I16" i="9" s="1"/>
  <c r="G22" i="9"/>
  <c r="I22" i="9" s="1"/>
  <c r="G34" i="9"/>
  <c r="I34" i="9" s="1"/>
  <c r="G14" i="9"/>
  <c r="I14" i="9" s="1"/>
  <c r="C14" i="5"/>
  <c r="C13" i="5"/>
  <c r="C37" i="5" l="1"/>
  <c r="C14" i="3"/>
  <c r="C15" i="3"/>
  <c r="C16" i="3"/>
  <c r="C17" i="3"/>
  <c r="C18" i="3"/>
  <c r="C19" i="3"/>
  <c r="C20" i="3"/>
  <c r="C21" i="3"/>
  <c r="C22" i="3"/>
  <c r="C23" i="3"/>
  <c r="C24" i="3"/>
  <c r="C25" i="3"/>
  <c r="C26" i="3"/>
  <c r="C27" i="3"/>
  <c r="C28" i="3"/>
  <c r="C29" i="3"/>
  <c r="C30" i="3"/>
  <c r="C31" i="3"/>
  <c r="C32" i="3"/>
  <c r="C33" i="3"/>
  <c r="C34" i="3"/>
  <c r="C35" i="3"/>
  <c r="C36" i="3"/>
  <c r="C37" i="3"/>
  <c r="C13" i="3"/>
  <c r="C18" i="2"/>
  <c r="C15" i="5"/>
  <c r="C14" i="1"/>
  <c r="C15" i="1"/>
  <c r="C16" i="1"/>
  <c r="C17" i="1"/>
  <c r="C18" i="1"/>
  <c r="C19" i="1"/>
  <c r="C20" i="1"/>
  <c r="C21" i="1"/>
  <c r="C22" i="1"/>
  <c r="C23" i="1"/>
  <c r="C24" i="1"/>
  <c r="C25" i="1"/>
  <c r="C26" i="1"/>
  <c r="C27" i="1"/>
  <c r="C28" i="1"/>
  <c r="C29" i="1"/>
  <c r="C30" i="1"/>
  <c r="C31" i="1"/>
  <c r="C32" i="1"/>
  <c r="C33" i="1"/>
  <c r="C34" i="1"/>
  <c r="C35" i="1"/>
  <c r="C36" i="1"/>
  <c r="C37" i="1"/>
  <c r="C13" i="1"/>
  <c r="B5" i="8" l="1"/>
  <c r="C31" i="5" l="1"/>
  <c r="C32" i="5"/>
  <c r="C33" i="5"/>
  <c r="C34" i="5"/>
  <c r="C35" i="5"/>
  <c r="C36" i="5"/>
  <c r="C30" i="5"/>
  <c r="C29" i="5"/>
  <c r="C28" i="5"/>
  <c r="C27" i="5"/>
  <c r="C26" i="5"/>
  <c r="C25" i="5"/>
  <c r="C24" i="5"/>
  <c r="C23" i="5"/>
  <c r="C22" i="5"/>
  <c r="C21" i="5"/>
  <c r="C20" i="5"/>
  <c r="C19" i="5"/>
  <c r="C18" i="5"/>
  <c r="C17" i="5"/>
  <c r="C16" i="5"/>
  <c r="C37" i="2" l="1"/>
  <c r="C36" i="2"/>
  <c r="C35" i="2"/>
  <c r="C34" i="2"/>
  <c r="C33" i="2"/>
  <c r="C32" i="2"/>
  <c r="C31" i="2"/>
  <c r="C30" i="2"/>
  <c r="C29" i="2"/>
  <c r="C28" i="2"/>
  <c r="C27" i="2"/>
  <c r="C26" i="2"/>
  <c r="G39" i="5"/>
  <c r="I37" i="2" l="1"/>
  <c r="C25" i="2" l="1"/>
  <c r="C24" i="2"/>
  <c r="C23" i="2"/>
  <c r="C22" i="2"/>
  <c r="C21" i="2"/>
  <c r="C20" i="2"/>
  <c r="C19" i="2"/>
  <c r="C17" i="2"/>
  <c r="C16" i="2"/>
  <c r="C15" i="2"/>
  <c r="C14" i="2"/>
  <c r="C13" i="2"/>
  <c r="I20" i="2" l="1"/>
  <c r="I31" i="2"/>
  <c r="I23" i="2"/>
  <c r="I16" i="2"/>
  <c r="I32" i="2"/>
  <c r="I36" i="2"/>
  <c r="I26" i="2"/>
  <c r="I15" i="2"/>
  <c r="I24" i="2"/>
  <c r="I28" i="2"/>
  <c r="I39" i="2"/>
  <c r="I41" i="2" s="1"/>
  <c r="I22" i="2"/>
  <c r="I27" i="2"/>
  <c r="I33" i="2"/>
  <c r="I30" i="2"/>
  <c r="I29" i="2"/>
  <c r="I35" i="2"/>
  <c r="I34" i="2"/>
  <c r="G39" i="3"/>
  <c r="I25" i="2"/>
  <c r="I21" i="2"/>
  <c r="I19" i="2"/>
  <c r="I17" i="2"/>
  <c r="I18" i="2"/>
  <c r="I14" i="2"/>
  <c r="I13" i="2" l="1"/>
  <c r="G41" i="3"/>
  <c r="G42" i="3" s="1"/>
</calcChain>
</file>

<file path=xl/sharedStrings.xml><?xml version="1.0" encoding="utf-8"?>
<sst xmlns="http://schemas.openxmlformats.org/spreadsheetml/2006/main" count="70" uniqueCount="37">
  <si>
    <t>Lbs/ Month</t>
  </si>
  <si>
    <t>Pounds per day = MGD x mg/L (ppm) x 8.34 lbs/gal</t>
  </si>
  <si>
    <t>0.1 MG/Day x 1.0 mg/L(ppm) x 8.34 lbs/gallon = 0.834lbs/day or 304.41 lbs/year</t>
  </si>
  <si>
    <t>Pounds per month = MGD x mg/L(ppm) x 8.34 lbs/gal x days per month</t>
  </si>
  <si>
    <t>Days in Month</t>
  </si>
  <si>
    <t>gallon of water (lbs) = 8.34 lbs</t>
  </si>
  <si>
    <t>Maximum Annual Discharge Limit (lbs)=</t>
  </si>
  <si>
    <t xml:space="preserve">Maximum Effluent Concentration (mg/L)= </t>
  </si>
  <si>
    <t>Design Flow (MGD) =</t>
  </si>
  <si>
    <t>14 MG/Day x 1.0 mg/L(ppm) x 8.34 lbs/gallon = 116.76 lbs/day or 42,617.4 lbs/year</t>
  </si>
  <si>
    <t>Planned use of TP Credit of 521,000 lbs (generated/acquired in 2019)</t>
  </si>
  <si>
    <t>AVERAGE ANNUAL LOAD (lbs)</t>
  </si>
  <si>
    <t>Maximum Effluent Concentration (Annual Rolling Average)  = 1.0 mg/L</t>
  </si>
  <si>
    <t>Massed Limit Concentration (mg/L)</t>
  </si>
  <si>
    <t xml:space="preserve">Facility Design Flow* (MGD): </t>
  </si>
  <si>
    <t>Facility Average Actual Flow (MGD):</t>
  </si>
  <si>
    <t xml:space="preserve">Actual Flow is not used in this calculation. </t>
  </si>
  <si>
    <t>*This calculation uses the design flow, usually based on the most recent construction permit or design plans (except CSOs).</t>
  </si>
  <si>
    <t>Mass-Based Annual Total Limit (lbs)</t>
  </si>
  <si>
    <t>Pounds per year = MGD (design flow) x 1.0 mg/L (ppm) x 8.34 lbs/gal x 365 days</t>
  </si>
  <si>
    <t xml:space="preserve">75% Reduction based Target Reduction Level (lbs) </t>
  </si>
  <si>
    <t>Phosphorus 12-Month Rolling Total (lbs/yr)</t>
  </si>
  <si>
    <t>Annual Phosphorus Credit (lbs/yr)</t>
  </si>
  <si>
    <r>
      <t>Phosphorus 12-Month Rolling Total After Credit Limit</t>
    </r>
    <r>
      <rPr>
        <sz val="11"/>
        <color theme="1"/>
        <rFont val="Calibri"/>
        <family val="2"/>
        <scheme val="minor"/>
      </rPr>
      <t xml:space="preserve"> (lbs/yr)</t>
    </r>
  </si>
  <si>
    <t>Flow (MGD)</t>
  </si>
  <si>
    <t>Effluent Concentration (mg/L)</t>
  </si>
  <si>
    <t>Monthly Average Effluent Concentration (mg/L)</t>
  </si>
  <si>
    <t>12-Month Rolling Average (mg/L)</t>
  </si>
  <si>
    <t>Flow * 8.34 * 1.0</t>
  </si>
  <si>
    <t>12 month total</t>
  </si>
  <si>
    <t>Phosphorus Annual Total (lbs/yr)</t>
  </si>
  <si>
    <t>Phosphorus Annual Total After Credit Limit (lbs/yr)</t>
  </si>
  <si>
    <t>Total Monthly Flow (MG)</t>
  </si>
  <si>
    <t>Daily Limit (lbs) =</t>
  </si>
  <si>
    <t xml:space="preserve">75% Reduction = New Annual Target Reduction Level (lbs) = </t>
  </si>
  <si>
    <t xml:space="preserve">75% Reduction Based Target Reduction Level (lbs) = </t>
  </si>
  <si>
    <t>Planned use of TP Credit of 490,000 lbs (generated/acquired in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</si>
</sst>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8" x14ac:knownFonts="1">
    <font>
      <sz val="11"/>
      <color theme="1"/>
      <name val="Calibri"/>
      <family val="2"/>
      <scheme val="minor"/>
    </font>
    <font>
      <b/>
      <sz val="11"/>
      <color theme="1"/>
      <name val="Calibri"/>
      <family val="2"/>
      <scheme val="minor"/>
    </font>
    <font>
      <b/>
      <sz val="11"/>
      <color theme="9" tint="-0.499984740745262"/>
      <name val="Calibri"/>
      <family val="2"/>
      <scheme val="minor"/>
    </font>
    <font>
      <sz val="11"/>
      <color rgb="FFFF0000"/>
      <name val="Calibri"/>
      <family val="2"/>
      <scheme val="minor"/>
    </font>
    <font>
      <sz val="11"/>
      <color theme="0" tint="-0.499984740745262"/>
      <name val="Calibri"/>
      <family val="2"/>
      <scheme val="minor"/>
    </font>
    <font>
      <sz val="11"/>
      <color theme="0" tint="-0.34998626667073579"/>
      <name val="Calibri"/>
      <family val="2"/>
      <scheme val="minor"/>
    </font>
    <font>
      <b/>
      <sz val="11"/>
      <color theme="9" tint="0.39997558519241921"/>
      <name val="Calibri"/>
      <family val="2"/>
      <scheme val="minor"/>
    </font>
    <font>
      <sz val="11"/>
      <color theme="9" tint="0.39997558519241921"/>
      <name val="Calibri"/>
      <family val="2"/>
      <scheme val="minor"/>
    </font>
    <font>
      <b/>
      <sz val="11"/>
      <color theme="9" tint="-0.249977111117893"/>
      <name val="Calibri"/>
      <family val="2"/>
      <scheme val="minor"/>
    </font>
    <font>
      <b/>
      <sz val="11"/>
      <color rgb="FFC00000"/>
      <name val="Calibri"/>
      <family val="2"/>
      <scheme val="minor"/>
    </font>
    <font>
      <b/>
      <sz val="11"/>
      <color theme="5" tint="-0.249977111117893"/>
      <name val="Calibri"/>
      <family val="2"/>
      <scheme val="minor"/>
    </font>
    <font>
      <b/>
      <sz val="11"/>
      <color theme="4" tint="-0.499984740745262"/>
      <name val="Calibri"/>
      <family val="2"/>
      <scheme val="minor"/>
    </font>
    <font>
      <sz val="11"/>
      <color theme="4" tint="-0.499984740745262"/>
      <name val="Calibri"/>
      <family val="2"/>
      <scheme val="minor"/>
    </font>
    <font>
      <b/>
      <sz val="11"/>
      <color theme="0" tint="-0.499984740745262"/>
      <name val="Calibri"/>
      <family val="2"/>
      <scheme val="minor"/>
    </font>
    <font>
      <b/>
      <sz val="10.5"/>
      <color theme="1"/>
      <name val="Calibri"/>
      <family val="2"/>
      <scheme val="minor"/>
    </font>
    <font>
      <sz val="11"/>
      <color theme="1"/>
      <name val="Calibri"/>
      <family val="2"/>
      <scheme val="minor"/>
    </font>
    <font>
      <sz val="11"/>
      <name val="Calibri"/>
      <family val="2"/>
      <scheme val="minor"/>
    </font>
    <font>
      <b/>
      <sz val="10.5"/>
      <name val="Calibri"/>
      <family val="2"/>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43" fontId="15" fillId="0" borderId="0" applyFont="0" applyFill="0" applyBorder="0" applyAlignment="0" applyProtection="0"/>
  </cellStyleXfs>
  <cellXfs count="103">
    <xf numFmtId="0" fontId="0" fillId="0" borderId="0" xfId="0"/>
    <xf numFmtId="0" fontId="1" fillId="0" borderId="0" xfId="0" applyFont="1"/>
    <xf numFmtId="0" fontId="2" fillId="0" borderId="0" xfId="0" applyFont="1"/>
    <xf numFmtId="0" fontId="0" fillId="0" borderId="0" xfId="0" applyAlignment="1">
      <alignment wrapText="1"/>
    </xf>
    <xf numFmtId="17" fontId="0" fillId="0" borderId="1" xfId="0" applyNumberFormat="1" applyBorder="1"/>
    <xf numFmtId="0" fontId="0" fillId="0" borderId="1" xfId="0" applyBorder="1"/>
    <xf numFmtId="17" fontId="0" fillId="0" borderId="2" xfId="0" applyNumberFormat="1" applyBorder="1"/>
    <xf numFmtId="0" fontId="0" fillId="0" borderId="2" xfId="0" applyBorder="1"/>
    <xf numFmtId="0" fontId="0" fillId="0" borderId="3" xfId="0" applyBorder="1" applyAlignment="1">
      <alignment wrapText="1"/>
    </xf>
    <xf numFmtId="0" fontId="0" fillId="0" borderId="1" xfId="0" applyFill="1" applyBorder="1"/>
    <xf numFmtId="0" fontId="0" fillId="0" borderId="10" xfId="0" applyBorder="1"/>
    <xf numFmtId="0" fontId="0" fillId="0" borderId="12" xfId="0" applyBorder="1"/>
    <xf numFmtId="0" fontId="4" fillId="0" borderId="2" xfId="0" applyFont="1" applyBorder="1"/>
    <xf numFmtId="0" fontId="4" fillId="0" borderId="1" xfId="0" applyFont="1" applyBorder="1"/>
    <xf numFmtId="0" fontId="4" fillId="0" borderId="12" xfId="0" applyFont="1" applyBorder="1"/>
    <xf numFmtId="0" fontId="4" fillId="0" borderId="10" xfId="0" applyFont="1" applyBorder="1"/>
    <xf numFmtId="17" fontId="0" fillId="0" borderId="12" xfId="0" applyNumberFormat="1" applyBorder="1"/>
    <xf numFmtId="0" fontId="0" fillId="0" borderId="13" xfId="0" applyBorder="1"/>
    <xf numFmtId="0" fontId="4" fillId="0" borderId="1" xfId="0" applyFont="1" applyFill="1" applyBorder="1"/>
    <xf numFmtId="0" fontId="3" fillId="0" borderId="1" xfId="0" applyFont="1" applyFill="1" applyBorder="1"/>
    <xf numFmtId="0" fontId="1" fillId="0" borderId="6" xfId="0" applyFont="1" applyBorder="1"/>
    <xf numFmtId="0" fontId="4" fillId="0" borderId="12" xfId="0" applyFont="1" applyFill="1" applyBorder="1"/>
    <xf numFmtId="0" fontId="0" fillId="0" borderId="14" xfId="0" applyFill="1" applyBorder="1"/>
    <xf numFmtId="0" fontId="4" fillId="0" borderId="13" xfId="0" applyFont="1" applyBorder="1"/>
    <xf numFmtId="0" fontId="0" fillId="0" borderId="0" xfId="0" applyAlignment="1">
      <alignment horizontal="left"/>
    </xf>
    <xf numFmtId="0" fontId="1" fillId="0" borderId="0" xfId="0" applyFont="1" applyAlignment="1">
      <alignment horizontal="left"/>
    </xf>
    <xf numFmtId="2" fontId="1" fillId="0" borderId="0" xfId="0" applyNumberFormat="1" applyFont="1" applyAlignment="1">
      <alignment horizontal="left"/>
    </xf>
    <xf numFmtId="0" fontId="1" fillId="0" borderId="6" xfId="0" applyFont="1" applyFill="1" applyBorder="1"/>
    <xf numFmtId="0" fontId="3" fillId="0" borderId="1" xfId="0" applyFont="1" applyBorder="1"/>
    <xf numFmtId="17" fontId="0" fillId="0" borderId="0" xfId="0" applyNumberFormat="1" applyBorder="1"/>
    <xf numFmtId="0" fontId="1" fillId="0" borderId="7" xfId="0" applyFont="1" applyBorder="1"/>
    <xf numFmtId="0" fontId="1" fillId="0" borderId="8" xfId="0" applyFont="1" applyBorder="1"/>
    <xf numFmtId="3" fontId="7" fillId="0" borderId="1" xfId="0" applyNumberFormat="1" applyFont="1" applyBorder="1"/>
    <xf numFmtId="4" fontId="6" fillId="0" borderId="1" xfId="0" applyNumberFormat="1" applyFont="1" applyBorder="1"/>
    <xf numFmtId="4" fontId="10" fillId="0" borderId="1" xfId="0" applyNumberFormat="1" applyFont="1" applyBorder="1"/>
    <xf numFmtId="4" fontId="11" fillId="0" borderId="1" xfId="0" applyNumberFormat="1" applyFont="1" applyBorder="1"/>
    <xf numFmtId="0" fontId="0" fillId="0" borderId="0" xfId="0" applyFont="1"/>
    <xf numFmtId="0" fontId="0" fillId="0" borderId="0" xfId="0" applyFont="1" applyAlignment="1">
      <alignment horizontal="left"/>
    </xf>
    <xf numFmtId="0" fontId="9" fillId="0" borderId="1" xfId="0" applyFont="1" applyBorder="1"/>
    <xf numFmtId="0" fontId="9" fillId="0" borderId="1" xfId="0" applyFont="1" applyFill="1" applyBorder="1"/>
    <xf numFmtId="4" fontId="0" fillId="0" borderId="0" xfId="0" applyNumberFormat="1"/>
    <xf numFmtId="4" fontId="6" fillId="0" borderId="12" xfId="0" applyNumberFormat="1" applyFont="1" applyBorder="1"/>
    <xf numFmtId="4" fontId="6" fillId="0" borderId="2" xfId="0" applyNumberFormat="1" applyFont="1" applyBorder="1"/>
    <xf numFmtId="4" fontId="2" fillId="0" borderId="6" xfId="0" applyNumberFormat="1" applyFont="1" applyBorder="1"/>
    <xf numFmtId="4" fontId="5" fillId="0" borderId="1" xfId="0" applyNumberFormat="1" applyFont="1" applyBorder="1"/>
    <xf numFmtId="4" fontId="0" fillId="0" borderId="2" xfId="0" applyNumberFormat="1" applyBorder="1"/>
    <xf numFmtId="4" fontId="0" fillId="0" borderId="1" xfId="0" applyNumberFormat="1" applyBorder="1"/>
    <xf numFmtId="0" fontId="4" fillId="0" borderId="0" xfId="0" applyFont="1"/>
    <xf numFmtId="0" fontId="4" fillId="0" borderId="2" xfId="0" applyFont="1" applyFill="1" applyBorder="1"/>
    <xf numFmtId="0" fontId="0" fillId="0" borderId="11" xfId="0" applyBorder="1"/>
    <xf numFmtId="4" fontId="4" fillId="0" borderId="1" xfId="0" applyNumberFormat="1" applyFont="1" applyBorder="1"/>
    <xf numFmtId="4" fontId="4" fillId="0" borderId="2" xfId="0" applyNumberFormat="1" applyFont="1" applyBorder="1"/>
    <xf numFmtId="4" fontId="1" fillId="0" borderId="0" xfId="0" applyNumberFormat="1" applyFont="1" applyAlignment="1">
      <alignment horizontal="left"/>
    </xf>
    <xf numFmtId="4" fontId="4" fillId="0" borderId="1" xfId="0" applyNumberFormat="1" applyFont="1" applyFill="1" applyBorder="1"/>
    <xf numFmtId="4" fontId="1" fillId="0" borderId="10" xfId="0" applyNumberFormat="1" applyFont="1" applyBorder="1"/>
    <xf numFmtId="3" fontId="8" fillId="0" borderId="6" xfId="0" applyNumberFormat="1" applyFont="1" applyBorder="1"/>
    <xf numFmtId="4" fontId="1" fillId="0" borderId="10" xfId="0" applyNumberFormat="1" applyFont="1" applyFill="1" applyBorder="1"/>
    <xf numFmtId="0" fontId="4" fillId="0" borderId="14" xfId="0" applyFont="1" applyFill="1" applyBorder="1"/>
    <xf numFmtId="4" fontId="1" fillId="0" borderId="9" xfId="0" applyNumberFormat="1" applyFont="1" applyBorder="1"/>
    <xf numFmtId="4" fontId="0" fillId="0" borderId="0" xfId="0" applyNumberFormat="1" applyFont="1" applyBorder="1"/>
    <xf numFmtId="0" fontId="13" fillId="0" borderId="6" xfId="0" applyFont="1" applyBorder="1"/>
    <xf numFmtId="3" fontId="12" fillId="0" borderId="0" xfId="0" applyNumberFormat="1" applyFont="1"/>
    <xf numFmtId="0" fontId="4" fillId="0" borderId="6" xfId="0" applyFont="1" applyBorder="1"/>
    <xf numFmtId="164" fontId="0" fillId="0" borderId="0" xfId="0" applyNumberFormat="1"/>
    <xf numFmtId="0" fontId="0" fillId="0" borderId="0" xfId="0" applyAlignment="1"/>
    <xf numFmtId="165" fontId="0" fillId="0" borderId="0" xfId="0" applyNumberFormat="1"/>
    <xf numFmtId="0" fontId="14" fillId="0" borderId="0" xfId="0" applyFont="1" applyAlignment="1"/>
    <xf numFmtId="43" fontId="1" fillId="0" borderId="9" xfId="1" applyFont="1" applyBorder="1"/>
    <xf numFmtId="0" fontId="1" fillId="0" borderId="0" xfId="0" applyFont="1" applyBorder="1"/>
    <xf numFmtId="0" fontId="0" fillId="0" borderId="0" xfId="0" applyBorder="1"/>
    <xf numFmtId="43" fontId="0" fillId="0" borderId="0" xfId="0" applyNumberFormat="1"/>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4" fontId="1" fillId="0" borderId="0" xfId="0" applyNumberFormat="1" applyFont="1"/>
    <xf numFmtId="43" fontId="0" fillId="0" borderId="0" xfId="1" applyFont="1"/>
    <xf numFmtId="2" fontId="4" fillId="0" borderId="2" xfId="0" applyNumberFormat="1" applyFont="1" applyBorder="1"/>
    <xf numFmtId="2" fontId="4" fillId="0" borderId="0" xfId="0" applyNumberFormat="1" applyFont="1"/>
    <xf numFmtId="0" fontId="0" fillId="0" borderId="3" xfId="0" applyBorder="1" applyAlignment="1">
      <alignment horizontal="center" vertical="center" wrapText="1"/>
    </xf>
    <xf numFmtId="0" fontId="0" fillId="0" borderId="0" xfId="0" applyAlignment="1">
      <alignment wrapText="1"/>
    </xf>
    <xf numFmtId="43" fontId="0" fillId="0" borderId="0" xfId="1" applyFont="1" applyAlignment="1">
      <alignment wrapText="1"/>
    </xf>
    <xf numFmtId="43" fontId="0" fillId="0" borderId="0" xfId="1" applyNumberFormat="1" applyFont="1"/>
    <xf numFmtId="0" fontId="0" fillId="0" borderId="0" xfId="0" applyAlignment="1">
      <alignment wrapText="1"/>
    </xf>
    <xf numFmtId="0" fontId="0" fillId="0" borderId="5" xfId="0" applyBorder="1" applyAlignment="1">
      <alignment horizontal="center" vertical="center" wrapText="1"/>
    </xf>
    <xf numFmtId="4" fontId="0" fillId="0" borderId="11" xfId="0" applyNumberFormat="1" applyBorder="1"/>
    <xf numFmtId="4" fontId="0" fillId="0" borderId="15" xfId="0" applyNumberFormat="1" applyBorder="1"/>
    <xf numFmtId="4" fontId="4" fillId="0" borderId="16" xfId="0" applyNumberFormat="1" applyFont="1" applyBorder="1"/>
    <xf numFmtId="4" fontId="4" fillId="0" borderId="11" xfId="0" applyNumberFormat="1" applyFont="1" applyBorder="1"/>
    <xf numFmtId="4" fontId="4" fillId="0" borderId="15" xfId="0" applyNumberFormat="1" applyFont="1" applyBorder="1"/>
    <xf numFmtId="0" fontId="0" fillId="0" borderId="7" xfId="0" applyBorder="1" applyAlignment="1">
      <alignment horizontal="center" vertical="center" wrapText="1"/>
    </xf>
    <xf numFmtId="0" fontId="0" fillId="0" borderId="3" xfId="0" applyFont="1" applyBorder="1" applyAlignment="1">
      <alignment horizontal="center" vertical="center" wrapText="1"/>
    </xf>
    <xf numFmtId="43" fontId="4" fillId="0" borderId="2" xfId="1" applyFont="1" applyBorder="1"/>
    <xf numFmtId="43" fontId="16" fillId="0" borderId="1" xfId="1" applyFont="1" applyBorder="1"/>
    <xf numFmtId="0" fontId="16" fillId="0" borderId="1" xfId="0" applyFont="1" applyBorder="1" applyAlignment="1">
      <alignment horizontal="center" vertical="center" wrapText="1"/>
    </xf>
    <xf numFmtId="0" fontId="16" fillId="0" borderId="1" xfId="0" applyFont="1" applyBorder="1"/>
    <xf numFmtId="0" fontId="17" fillId="0" borderId="0" xfId="0" applyFont="1" applyAlignment="1"/>
    <xf numFmtId="0" fontId="16" fillId="0" borderId="0" xfId="0" applyFont="1"/>
    <xf numFmtId="0" fontId="0" fillId="0" borderId="0" xfId="0" applyAlignment="1">
      <alignment horizontal="center"/>
    </xf>
    <xf numFmtId="0" fontId="0" fillId="0" borderId="8" xfId="0" applyBorder="1" applyAlignment="1">
      <alignment horizontal="center"/>
    </xf>
    <xf numFmtId="0" fontId="0" fillId="0" borderId="7" xfId="0"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xf>
  </cellXfs>
  <cellStyles count="2">
    <cellStyle name="Comma" xfId="1" builtinId="3"/>
    <cellStyle name="Normal" xfId="0" builtinId="0"/>
  </cellStyles>
  <dxfs count="1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FF9797"/>
      </font>
    </dxf>
    <dxf>
      <font>
        <color theme="9" tint="0.59996337778862885"/>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FF9797"/>
      </font>
    </dxf>
    <dxf>
      <font>
        <color theme="9" tint="0.59996337778862885"/>
      </font>
    </dxf>
    <dxf>
      <font>
        <color rgb="FF9C0006"/>
      </font>
    </dxf>
    <dxf>
      <font>
        <color rgb="FF9C0006"/>
      </font>
    </dxf>
  </dxfs>
  <tableStyles count="0" defaultTableStyle="TableStyleMedium2" defaultPivotStyle="PivotStyleLight16"/>
  <colors>
    <mruColors>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523874</xdr:colOff>
      <xdr:row>23</xdr:row>
      <xdr:rowOff>38100</xdr:rowOff>
    </xdr:from>
    <xdr:to>
      <xdr:col>11</xdr:col>
      <xdr:colOff>400049</xdr:colOff>
      <xdr:row>26</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010149" y="4591050"/>
          <a:ext cx="414337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Compliance is determined</a:t>
          </a:r>
          <a:r>
            <a:rPr lang="en-US" sz="1100" baseline="0"/>
            <a:t> December of each year. </a:t>
          </a:r>
          <a:r>
            <a:rPr lang="en-US" sz="1100" b="1" baseline="0"/>
            <a:t>The 12-Month Rolling Average </a:t>
          </a:r>
          <a:r>
            <a:rPr lang="en-US" sz="1100" baseline="0"/>
            <a:t>calculation for December of each year must be below the </a:t>
          </a:r>
          <a:r>
            <a:rPr lang="en-US" sz="1100" b="1" baseline="0"/>
            <a:t>Maximum Effluent Concentration</a:t>
          </a:r>
          <a:r>
            <a:rPr lang="en-US" sz="1100" baseline="0"/>
            <a:t> of 1.0 mg/L</a:t>
          </a:r>
          <a:endParaRPr lang="en-US" sz="1100"/>
        </a:p>
      </xdr:txBody>
    </xdr:sp>
    <xdr:clientData/>
  </xdr:twoCellAnchor>
  <xdr:twoCellAnchor>
    <xdr:from>
      <xdr:col>3</xdr:col>
      <xdr:colOff>57150</xdr:colOff>
      <xdr:row>24</xdr:row>
      <xdr:rowOff>133350</xdr:rowOff>
    </xdr:from>
    <xdr:to>
      <xdr:col>4</xdr:col>
      <xdr:colOff>428626</xdr:colOff>
      <xdr:row>24</xdr:row>
      <xdr:rowOff>133350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H="1">
          <a:off x="3724275" y="4886325"/>
          <a:ext cx="1190626" cy="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38103</xdr:colOff>
      <xdr:row>12</xdr:row>
      <xdr:rowOff>85726</xdr:rowOff>
    </xdr:from>
    <xdr:to>
      <xdr:col>3</xdr:col>
      <xdr:colOff>314326</xdr:colOff>
      <xdr:row>24</xdr:row>
      <xdr:rowOff>123825</xdr:rowOff>
    </xdr:to>
    <xdr:cxnSp macro="">
      <xdr:nvCxnSpPr>
        <xdr:cNvPr id="8" name="Elbow Connector 7">
          <a:extLst>
            <a:ext uri="{FF2B5EF4-FFF2-40B4-BE49-F238E27FC236}">
              <a16:creationId xmlns:a16="http://schemas.microsoft.com/office/drawing/2014/main" id="{00000000-0008-0000-0000-000008000000}"/>
            </a:ext>
          </a:extLst>
        </xdr:cNvPr>
        <xdr:cNvCxnSpPr/>
      </xdr:nvCxnSpPr>
      <xdr:spPr>
        <a:xfrm rot="16200000" flipV="1">
          <a:off x="2671765" y="3795714"/>
          <a:ext cx="2343149" cy="276223"/>
        </a:xfrm>
        <a:prstGeom prst="bentConnector3">
          <a:avLst>
            <a:gd name="adj1" fmla="val 99594"/>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66675</xdr:colOff>
      <xdr:row>24</xdr:row>
      <xdr:rowOff>114300</xdr:rowOff>
    </xdr:from>
    <xdr:to>
      <xdr:col>3</xdr:col>
      <xdr:colOff>314328</xdr:colOff>
      <xdr:row>36</xdr:row>
      <xdr:rowOff>95254</xdr:rowOff>
    </xdr:to>
    <xdr:cxnSp macro="">
      <xdr:nvCxnSpPr>
        <xdr:cNvPr id="14" name="Elbow Connector 13">
          <a:extLst>
            <a:ext uri="{FF2B5EF4-FFF2-40B4-BE49-F238E27FC236}">
              <a16:creationId xmlns:a16="http://schemas.microsoft.com/office/drawing/2014/main" id="{00000000-0008-0000-0000-00000E000000}"/>
            </a:ext>
          </a:extLst>
        </xdr:cNvPr>
        <xdr:cNvCxnSpPr/>
      </xdr:nvCxnSpPr>
      <xdr:spPr>
        <a:xfrm rot="5400000">
          <a:off x="2714625" y="5886450"/>
          <a:ext cx="2286004" cy="247653"/>
        </a:xfrm>
        <a:prstGeom prst="bentConnector3">
          <a:avLst>
            <a:gd name="adj1" fmla="val 100000"/>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723900</xdr:colOff>
      <xdr:row>2</xdr:row>
      <xdr:rowOff>114300</xdr:rowOff>
    </xdr:from>
    <xdr:to>
      <xdr:col>9</xdr:col>
      <xdr:colOff>38100</xdr:colOff>
      <xdr:row>10</xdr:row>
      <xdr:rowOff>28575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4391025" y="647700"/>
          <a:ext cx="3181350" cy="1438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Values in red indicate concentrations greater than the </a:t>
          </a:r>
          <a:r>
            <a:rPr lang="en-US" sz="1100" b="1"/>
            <a:t>Maximum Effluent Concentration </a:t>
          </a:r>
          <a:r>
            <a:rPr lang="en-US" sz="1100"/>
            <a:t>of 1.0 mg/L. </a:t>
          </a:r>
        </a:p>
        <a:p>
          <a:endParaRPr lang="en-US" sz="1100"/>
        </a:p>
        <a:p>
          <a:r>
            <a:rPr lang="en-US" sz="1100"/>
            <a:t>Although these values</a:t>
          </a:r>
          <a:r>
            <a:rPr lang="en-US" sz="1100" baseline="0"/>
            <a:t> exceed 1.0 mg/L, compliance is based on the </a:t>
          </a:r>
          <a:r>
            <a:rPr lang="en-US" sz="1100" b="1" baseline="0"/>
            <a:t>12-Month Rolling Average</a:t>
          </a:r>
          <a:r>
            <a:rPr lang="en-US" sz="1100" baseline="0"/>
            <a:t> and not a facility's concentration monthly</a:t>
          </a:r>
          <a:endParaRPr lang="en-US" sz="1100"/>
        </a:p>
      </xdr:txBody>
    </xdr:sp>
    <xdr:clientData/>
  </xdr:twoCellAnchor>
  <xdr:twoCellAnchor>
    <xdr:from>
      <xdr:col>2</xdr:col>
      <xdr:colOff>104776</xdr:colOff>
      <xdr:row>6</xdr:row>
      <xdr:rowOff>85725</xdr:rowOff>
    </xdr:from>
    <xdr:to>
      <xdr:col>3</xdr:col>
      <xdr:colOff>600075</xdr:colOff>
      <xdr:row>6</xdr:row>
      <xdr:rowOff>85725</xdr:rowOff>
    </xdr:to>
    <xdr:cxnSp macro="">
      <xdr:nvCxnSpPr>
        <xdr:cNvPr id="26" name="Straight Arrow Connector 25">
          <a:extLst>
            <a:ext uri="{FF2B5EF4-FFF2-40B4-BE49-F238E27FC236}">
              <a16:creationId xmlns:a16="http://schemas.microsoft.com/office/drawing/2014/main" id="{00000000-0008-0000-0000-00001A000000}"/>
            </a:ext>
          </a:extLst>
        </xdr:cNvPr>
        <xdr:cNvCxnSpPr/>
      </xdr:nvCxnSpPr>
      <xdr:spPr>
        <a:xfrm flipH="1">
          <a:off x="2305051" y="1381125"/>
          <a:ext cx="1962149" cy="0"/>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228600</xdr:colOff>
      <xdr:row>22</xdr:row>
      <xdr:rowOff>161925</xdr:rowOff>
    </xdr:from>
    <xdr:to>
      <xdr:col>16</xdr:col>
      <xdr:colOff>19050</xdr:colOff>
      <xdr:row>27</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096000" y="4743450"/>
          <a:ext cx="466725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facility's </a:t>
          </a:r>
          <a:r>
            <a:rPr lang="en-US" sz="1100" b="1"/>
            <a:t>Monthly Average Concentration</a:t>
          </a:r>
          <a:r>
            <a:rPr lang="en-US" sz="1100" b="1" baseline="0"/>
            <a:t> (mg/L) </a:t>
          </a:r>
          <a:r>
            <a:rPr lang="en-US" sz="1100" baseline="0"/>
            <a:t>of phosphorus is converted to pounds of phosphorus discharged per month (</a:t>
          </a:r>
          <a:r>
            <a:rPr lang="en-US" sz="1100" b="1" baseline="0"/>
            <a:t>LBS/Month</a:t>
          </a:r>
          <a:r>
            <a:rPr lang="en-US" sz="1100" baseline="0"/>
            <a:t>) based upon the facility's </a:t>
          </a:r>
          <a:r>
            <a:rPr lang="en-US" sz="1100" b="1" baseline="0"/>
            <a:t>Total Monthly Flow (MG)</a:t>
          </a:r>
          <a:r>
            <a:rPr lang="en-US" sz="1100" baseline="0"/>
            <a:t>. A </a:t>
          </a:r>
          <a:r>
            <a:rPr lang="en-US" sz="1100" b="1" baseline="0"/>
            <a:t>Phosphorus Annual Total (lbs/yr) </a:t>
          </a:r>
          <a:r>
            <a:rPr lang="en-US" sz="1100" b="0" baseline="0"/>
            <a:t>is then calculated</a:t>
          </a:r>
          <a:r>
            <a:rPr lang="en-US" sz="1100" b="1" baseline="0"/>
            <a:t> </a:t>
          </a:r>
          <a:r>
            <a:rPr lang="en-US" sz="1100" baseline="0"/>
            <a:t>calculated to measure the total discharge of phosphorus per year. </a:t>
          </a:r>
        </a:p>
        <a:p>
          <a:endParaRPr lang="en-US" sz="1100" baseline="0"/>
        </a:p>
        <a:p>
          <a:endParaRPr lang="en-US" sz="1100"/>
        </a:p>
      </xdr:txBody>
    </xdr:sp>
    <xdr:clientData/>
  </xdr:twoCellAnchor>
  <xdr:twoCellAnchor>
    <xdr:from>
      <xdr:col>7</xdr:col>
      <xdr:colOff>95250</xdr:colOff>
      <xdr:row>12</xdr:row>
      <xdr:rowOff>104775</xdr:rowOff>
    </xdr:from>
    <xdr:to>
      <xdr:col>7</xdr:col>
      <xdr:colOff>371473</xdr:colOff>
      <xdr:row>24</xdr:row>
      <xdr:rowOff>161924</xdr:rowOff>
    </xdr:to>
    <xdr:cxnSp macro="">
      <xdr:nvCxnSpPr>
        <xdr:cNvPr id="3" name="Elbow Connector 2">
          <a:extLst>
            <a:ext uri="{FF2B5EF4-FFF2-40B4-BE49-F238E27FC236}">
              <a16:creationId xmlns:a16="http://schemas.microsoft.com/office/drawing/2014/main" id="{00000000-0008-0000-0200-000003000000}"/>
            </a:ext>
          </a:extLst>
        </xdr:cNvPr>
        <xdr:cNvCxnSpPr/>
      </xdr:nvCxnSpPr>
      <xdr:spPr>
        <a:xfrm rot="16200000" flipV="1">
          <a:off x="4319587" y="3814763"/>
          <a:ext cx="2343149" cy="276223"/>
        </a:xfrm>
        <a:prstGeom prst="bentConnector3">
          <a:avLst>
            <a:gd name="adj1" fmla="val 99594"/>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24</xdr:row>
      <xdr:rowOff>57151</xdr:rowOff>
    </xdr:from>
    <xdr:to>
      <xdr:col>7</xdr:col>
      <xdr:colOff>371475</xdr:colOff>
      <xdr:row>36</xdr:row>
      <xdr:rowOff>114301</xdr:rowOff>
    </xdr:to>
    <xdr:cxnSp macro="">
      <xdr:nvCxnSpPr>
        <xdr:cNvPr id="4" name="Elbow Connector 3">
          <a:extLst>
            <a:ext uri="{FF2B5EF4-FFF2-40B4-BE49-F238E27FC236}">
              <a16:creationId xmlns:a16="http://schemas.microsoft.com/office/drawing/2014/main" id="{00000000-0008-0000-0200-000004000000}"/>
            </a:ext>
          </a:extLst>
        </xdr:cNvPr>
        <xdr:cNvCxnSpPr/>
      </xdr:nvCxnSpPr>
      <xdr:spPr>
        <a:xfrm rot="5400000">
          <a:off x="4329113" y="6062663"/>
          <a:ext cx="2343150" cy="257175"/>
        </a:xfrm>
        <a:prstGeom prst="bentConnector3">
          <a:avLst>
            <a:gd name="adj1" fmla="val 100000"/>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57151</xdr:colOff>
      <xdr:row>24</xdr:row>
      <xdr:rowOff>133350</xdr:rowOff>
    </xdr:from>
    <xdr:to>
      <xdr:col>8</xdr:col>
      <xdr:colOff>104778</xdr:colOff>
      <xdr:row>24</xdr:row>
      <xdr:rowOff>146050</xdr:rowOff>
    </xdr:to>
    <xdr:cxnSp macro="">
      <xdr:nvCxnSpPr>
        <xdr:cNvPr id="10" name="Elbow Connector 9">
          <a:extLst>
            <a:ext uri="{FF2B5EF4-FFF2-40B4-BE49-F238E27FC236}">
              <a16:creationId xmlns:a16="http://schemas.microsoft.com/office/drawing/2014/main" id="{00000000-0008-0000-0200-00000A000000}"/>
            </a:ext>
          </a:extLst>
        </xdr:cNvPr>
        <xdr:cNvCxnSpPr/>
      </xdr:nvCxnSpPr>
      <xdr:spPr>
        <a:xfrm rot="10800000">
          <a:off x="5314951" y="5095875"/>
          <a:ext cx="657227" cy="12700"/>
        </a:xfrm>
        <a:prstGeom prst="bentConnector3">
          <a:avLst>
            <a:gd name="adj1" fmla="val 116667"/>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19051</xdr:colOff>
      <xdr:row>38</xdr:row>
      <xdr:rowOff>114301</xdr:rowOff>
    </xdr:from>
    <xdr:to>
      <xdr:col>8</xdr:col>
      <xdr:colOff>466726</xdr:colOff>
      <xdr:row>38</xdr:row>
      <xdr:rowOff>123826</xdr:rowOff>
    </xdr:to>
    <xdr:cxnSp macro="">
      <xdr:nvCxnSpPr>
        <xdr:cNvPr id="17" name="Elbow Connector 16">
          <a:extLst>
            <a:ext uri="{FF2B5EF4-FFF2-40B4-BE49-F238E27FC236}">
              <a16:creationId xmlns:a16="http://schemas.microsoft.com/office/drawing/2014/main" id="{00000000-0008-0000-0200-000011000000}"/>
            </a:ext>
          </a:extLst>
        </xdr:cNvPr>
        <xdr:cNvCxnSpPr/>
      </xdr:nvCxnSpPr>
      <xdr:spPr>
        <a:xfrm rot="10800000">
          <a:off x="5276851" y="7743826"/>
          <a:ext cx="1057275" cy="9525"/>
        </a:xfrm>
        <a:prstGeom prst="bentConnector3">
          <a:avLst>
            <a:gd name="adj1" fmla="val 99550"/>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485775</xdr:colOff>
      <xdr:row>38</xdr:row>
      <xdr:rowOff>57151</xdr:rowOff>
    </xdr:from>
    <xdr:to>
      <xdr:col>16</xdr:col>
      <xdr:colOff>276225</xdr:colOff>
      <xdr:row>41</xdr:row>
      <xdr:rowOff>76201</xdr:rowOff>
    </xdr:to>
    <xdr:sp macro="" textlink="">
      <xdr:nvSpPr>
        <xdr:cNvPr id="18" name="TextBox 17">
          <a:extLst>
            <a:ext uri="{FF2B5EF4-FFF2-40B4-BE49-F238E27FC236}">
              <a16:creationId xmlns:a16="http://schemas.microsoft.com/office/drawing/2014/main" id="{00000000-0008-0000-0200-000012000000}"/>
            </a:ext>
          </a:extLst>
        </xdr:cNvPr>
        <xdr:cNvSpPr txBox="1"/>
      </xdr:nvSpPr>
      <xdr:spPr>
        <a:xfrm>
          <a:off x="6353175" y="7686676"/>
          <a:ext cx="466725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The </a:t>
          </a:r>
          <a:r>
            <a:rPr lang="en-US" sz="1100" b="1" baseline="0"/>
            <a:t>Average Annual Load </a:t>
          </a:r>
          <a:r>
            <a:rPr lang="en-US" sz="1100" baseline="0"/>
            <a:t>(lbs) is calculated using the average of the </a:t>
          </a:r>
          <a:r>
            <a:rPr lang="en-US" sz="1100" b="1" baseline="0"/>
            <a:t>Phosphorus Annual Total (lbs/yr) </a:t>
          </a:r>
          <a:r>
            <a:rPr lang="en-US" sz="1100" baseline="0"/>
            <a:t>values. 75% of this Average Annual Load becomes the </a:t>
          </a:r>
          <a:r>
            <a:rPr lang="en-US" sz="1100" b="1" baseline="0"/>
            <a:t>New Annual Target Reduction Level </a:t>
          </a:r>
          <a:r>
            <a:rPr lang="en-US" sz="1100" baseline="0"/>
            <a:t>for the facility</a:t>
          </a:r>
        </a:p>
        <a:p>
          <a:endParaRPr lang="en-US" sz="1100" baseline="0"/>
        </a:p>
        <a:p>
          <a:endParaRPr lang="en-US" sz="1100"/>
        </a:p>
      </xdr:txBody>
    </xdr:sp>
    <xdr:clientData/>
  </xdr:twoCellAnchor>
  <xdr:twoCellAnchor>
    <xdr:from>
      <xdr:col>7</xdr:col>
      <xdr:colOff>57151</xdr:colOff>
      <xdr:row>40</xdr:row>
      <xdr:rowOff>28574</xdr:rowOff>
    </xdr:from>
    <xdr:to>
      <xdr:col>8</xdr:col>
      <xdr:colOff>409576</xdr:colOff>
      <xdr:row>40</xdr:row>
      <xdr:rowOff>114300</xdr:rowOff>
    </xdr:to>
    <xdr:cxnSp macro="">
      <xdr:nvCxnSpPr>
        <xdr:cNvPr id="22" name="Elbow Connector 21">
          <a:extLst>
            <a:ext uri="{FF2B5EF4-FFF2-40B4-BE49-F238E27FC236}">
              <a16:creationId xmlns:a16="http://schemas.microsoft.com/office/drawing/2014/main" id="{00000000-0008-0000-0200-000016000000}"/>
            </a:ext>
          </a:extLst>
        </xdr:cNvPr>
        <xdr:cNvCxnSpPr/>
      </xdr:nvCxnSpPr>
      <xdr:spPr>
        <a:xfrm rot="10800000" flipV="1">
          <a:off x="5314951" y="8048624"/>
          <a:ext cx="962025" cy="85726"/>
        </a:xfrm>
        <a:prstGeom prst="bentConnector3">
          <a:avLst>
            <a:gd name="adj1" fmla="val 50000"/>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533400</xdr:colOff>
      <xdr:row>3</xdr:row>
      <xdr:rowOff>76200</xdr:rowOff>
    </xdr:from>
    <xdr:to>
      <xdr:col>13</xdr:col>
      <xdr:colOff>400050</xdr:colOff>
      <xdr:row>9</xdr:row>
      <xdr:rowOff>114300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7267575" y="1219200"/>
          <a:ext cx="3733800"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Values in red indicate concentrations greater than the </a:t>
          </a:r>
          <a:r>
            <a:rPr lang="en-US" sz="1100" b="1"/>
            <a:t>Maximum Effluent Concentration </a:t>
          </a:r>
          <a:r>
            <a:rPr lang="en-US" sz="1100"/>
            <a:t>of 1.0 mg/L. </a:t>
          </a:r>
        </a:p>
        <a:p>
          <a:endParaRPr lang="en-US" sz="1100"/>
        </a:p>
        <a:p>
          <a:r>
            <a:rPr lang="en-US" sz="1100"/>
            <a:t>Although these values</a:t>
          </a:r>
          <a:r>
            <a:rPr lang="en-US" sz="1100" baseline="0"/>
            <a:t> exceed 1.0 mg/L, compliance is based on the </a:t>
          </a:r>
          <a:r>
            <a:rPr lang="en-US" sz="1100" b="1" baseline="0"/>
            <a:t>Phosphorus Annual Total </a:t>
          </a:r>
          <a:r>
            <a:rPr lang="en-US" sz="1100" baseline="0"/>
            <a:t>and not a facility's concentration monthly</a:t>
          </a:r>
          <a:endParaRPr lang="en-US" sz="1100"/>
        </a:p>
      </xdr:txBody>
    </xdr:sp>
    <xdr:clientData/>
  </xdr:twoCellAnchor>
  <xdr:twoCellAnchor>
    <xdr:from>
      <xdr:col>2</xdr:col>
      <xdr:colOff>97156</xdr:colOff>
      <xdr:row>6</xdr:row>
      <xdr:rowOff>22860</xdr:rowOff>
    </xdr:from>
    <xdr:to>
      <xdr:col>7</xdr:col>
      <xdr:colOff>478155</xdr:colOff>
      <xdr:row>6</xdr:row>
      <xdr:rowOff>32385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a:off x="1514476" y="1485900"/>
          <a:ext cx="4594859" cy="9525"/>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0</xdr:colOff>
      <xdr:row>23</xdr:row>
      <xdr:rowOff>38100</xdr:rowOff>
    </xdr:from>
    <xdr:to>
      <xdr:col>14</xdr:col>
      <xdr:colOff>485775</xdr:colOff>
      <xdr:row>26</xdr:row>
      <xdr:rowOff>76200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553325" y="4914900"/>
          <a:ext cx="414337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Compliance is determined</a:t>
          </a:r>
          <a:r>
            <a:rPr lang="en-US" sz="1100" baseline="0"/>
            <a:t> December of each year. </a:t>
          </a:r>
          <a:r>
            <a:rPr lang="en-US" sz="1100" b="0" baseline="0"/>
            <a:t>The</a:t>
          </a:r>
          <a:r>
            <a:rPr lang="en-US" sz="1100" b="1" baseline="0"/>
            <a:t> Phosphorus Annual Total (lbs/yr) </a:t>
          </a:r>
          <a:r>
            <a:rPr lang="en-US" sz="1100" baseline="0"/>
            <a:t>calculation for December of each year must be below the </a:t>
          </a:r>
          <a:r>
            <a:rPr lang="en-US" sz="1100" b="1" baseline="0"/>
            <a:t>Maximum Annual Discharge Limit (lbs)</a:t>
          </a:r>
          <a:endParaRPr lang="en-US" sz="1100"/>
        </a:p>
      </xdr:txBody>
    </xdr:sp>
    <xdr:clientData/>
  </xdr:twoCellAnchor>
  <xdr:twoCellAnchor>
    <xdr:from>
      <xdr:col>7</xdr:col>
      <xdr:colOff>66677</xdr:colOff>
      <xdr:row>12</xdr:row>
      <xdr:rowOff>95251</xdr:rowOff>
    </xdr:from>
    <xdr:to>
      <xdr:col>7</xdr:col>
      <xdr:colOff>314326</xdr:colOff>
      <xdr:row>25</xdr:row>
      <xdr:rowOff>28575</xdr:rowOff>
    </xdr:to>
    <xdr:cxnSp macro="">
      <xdr:nvCxnSpPr>
        <xdr:cNvPr id="6" name="Elbow Connector 5">
          <a:extLst>
            <a:ext uri="{FF2B5EF4-FFF2-40B4-BE49-F238E27FC236}">
              <a16:creationId xmlns:a16="http://schemas.microsoft.com/office/drawing/2014/main" id="{00000000-0008-0000-0300-000006000000}"/>
            </a:ext>
          </a:extLst>
        </xdr:cNvPr>
        <xdr:cNvCxnSpPr/>
      </xdr:nvCxnSpPr>
      <xdr:spPr>
        <a:xfrm rot="16200000" flipV="1">
          <a:off x="5657852" y="3914776"/>
          <a:ext cx="2533649" cy="247649"/>
        </a:xfrm>
        <a:prstGeom prst="bentConnector3">
          <a:avLst>
            <a:gd name="adj1" fmla="val 99624"/>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47627</xdr:colOff>
      <xdr:row>24</xdr:row>
      <xdr:rowOff>47625</xdr:rowOff>
    </xdr:from>
    <xdr:to>
      <xdr:col>7</xdr:col>
      <xdr:colOff>314325</xdr:colOff>
      <xdr:row>36</xdr:row>
      <xdr:rowOff>114305</xdr:rowOff>
    </xdr:to>
    <xdr:cxnSp macro="">
      <xdr:nvCxnSpPr>
        <xdr:cNvPr id="7" name="Elbow Connector 6">
          <a:extLst>
            <a:ext uri="{FF2B5EF4-FFF2-40B4-BE49-F238E27FC236}">
              <a16:creationId xmlns:a16="http://schemas.microsoft.com/office/drawing/2014/main" id="{00000000-0008-0000-0300-000007000000}"/>
            </a:ext>
          </a:extLst>
        </xdr:cNvPr>
        <xdr:cNvCxnSpPr/>
      </xdr:nvCxnSpPr>
      <xdr:spPr>
        <a:xfrm rot="5400000">
          <a:off x="5681661" y="6224591"/>
          <a:ext cx="2466980" cy="266698"/>
        </a:xfrm>
        <a:prstGeom prst="bentConnector3">
          <a:avLst>
            <a:gd name="adj1" fmla="val 9942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xdr:colOff>
      <xdr:row>24</xdr:row>
      <xdr:rowOff>95250</xdr:rowOff>
    </xdr:from>
    <xdr:to>
      <xdr:col>7</xdr:col>
      <xdr:colOff>752477</xdr:colOff>
      <xdr:row>24</xdr:row>
      <xdr:rowOff>104775</xdr:rowOff>
    </xdr:to>
    <xdr:cxnSp macro="">
      <xdr:nvCxnSpPr>
        <xdr:cNvPr id="14" name="Straight Arrow Connector 13">
          <a:extLst>
            <a:ext uri="{FF2B5EF4-FFF2-40B4-BE49-F238E27FC236}">
              <a16:creationId xmlns:a16="http://schemas.microsoft.com/office/drawing/2014/main" id="{00000000-0008-0000-0300-00000E000000}"/>
            </a:ext>
          </a:extLst>
        </xdr:cNvPr>
        <xdr:cNvCxnSpPr/>
      </xdr:nvCxnSpPr>
      <xdr:spPr>
        <a:xfrm flipH="1">
          <a:off x="6791325" y="5172075"/>
          <a:ext cx="695327" cy="952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242358</xdr:colOff>
      <xdr:row>40</xdr:row>
      <xdr:rowOff>87842</xdr:rowOff>
    </xdr:from>
    <xdr:to>
      <xdr:col>14</xdr:col>
      <xdr:colOff>528108</xdr:colOff>
      <xdr:row>43</xdr:row>
      <xdr:rowOff>154517</xdr:rowOff>
    </xdr:to>
    <mc:AlternateContent xmlns:mc="http://schemas.openxmlformats.org/markup-compatibility/2006">
      <mc:Choice xmlns:a14="http://schemas.microsoft.com/office/drawing/2010/main" Requires="a14">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4189941" y="8554509"/>
              <a:ext cx="5767917"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Maximum Annual Discharge Limit </a:t>
              </a:r>
              <a:r>
                <a:rPr lang="en-US" sz="1100" b="0" baseline="0"/>
                <a:t>is calculated by the </a:t>
              </a:r>
              <a14:m>
                <m:oMath xmlns:m="http://schemas.openxmlformats.org/officeDocument/2006/math">
                  <m:r>
                    <a:rPr lang="en-US" sz="1100" b="0" i="1" baseline="0">
                      <a:latin typeface="Cambria Math" panose="02040503050406030204" pitchFamily="18" charset="0"/>
                    </a:rPr>
                    <m:t>𝑑𝑒𝑠𝑖𝑔𝑛</m:t>
                  </m:r>
                  <m:r>
                    <a:rPr lang="en-US" sz="1100" b="0" i="1" baseline="0">
                      <a:latin typeface="Cambria Math" panose="02040503050406030204" pitchFamily="18" charset="0"/>
                    </a:rPr>
                    <m:t> </m:t>
                  </m:r>
                  <m:r>
                    <a:rPr lang="en-US" sz="1100" b="0" i="1" baseline="0">
                      <a:latin typeface="Cambria Math" panose="02040503050406030204" pitchFamily="18" charset="0"/>
                    </a:rPr>
                    <m:t>𝑓𝑙𝑜𝑤</m:t>
                  </m:r>
                  <m:r>
                    <a:rPr lang="en-US" sz="1100" b="0" i="1" baseline="0">
                      <a:latin typeface="Cambria Math" panose="02040503050406030204" pitchFamily="18" charset="0"/>
                    </a:rPr>
                    <m:t> </m:t>
                  </m:r>
                  <m:r>
                    <a:rPr lang="en-US" sz="1100" b="0" i="1" baseline="0">
                      <a:latin typeface="Cambria Math" panose="02040503050406030204" pitchFamily="18" charset="0"/>
                    </a:rPr>
                    <m:t>𝑋</m:t>
                  </m:r>
                  <m:r>
                    <a:rPr lang="en-US" sz="1100" b="0" i="1" baseline="0">
                      <a:latin typeface="Cambria Math" panose="02040503050406030204" pitchFamily="18" charset="0"/>
                    </a:rPr>
                    <m:t> </m:t>
                  </m:r>
                  <m:r>
                    <a:rPr lang="en-US" sz="1100" b="0" i="1" baseline="0">
                      <a:latin typeface="Cambria Math" panose="02040503050406030204" pitchFamily="18" charset="0"/>
                    </a:rPr>
                    <m:t>𝑀𝑎𝑥𝑖𝑚𝑢𝑚</m:t>
                  </m:r>
                  <m:r>
                    <a:rPr lang="en-US" sz="1100" b="0" i="1" baseline="0">
                      <a:latin typeface="Cambria Math" panose="02040503050406030204" pitchFamily="18" charset="0"/>
                    </a:rPr>
                    <m:t> </m:t>
                  </m:r>
                  <m:r>
                    <a:rPr lang="en-US" sz="1100" b="0" i="1" baseline="0">
                      <a:latin typeface="Cambria Math" panose="02040503050406030204" pitchFamily="18" charset="0"/>
                    </a:rPr>
                    <m:t>𝐸𝑓𝑓𝑙𝑢𝑒𝑛𝑡</m:t>
                  </m:r>
                  <m:r>
                    <a:rPr lang="en-US" sz="1100" b="0" i="1" baseline="0">
                      <a:latin typeface="Cambria Math" panose="02040503050406030204" pitchFamily="18" charset="0"/>
                    </a:rPr>
                    <m:t> </m:t>
                  </m:r>
                  <m:r>
                    <a:rPr lang="en-US" sz="1100" b="0" i="1" baseline="0">
                      <a:latin typeface="Cambria Math" panose="02040503050406030204" pitchFamily="18" charset="0"/>
                    </a:rPr>
                    <m:t>𝐶𝑜𝑛𝑐𝑒𝑛𝑡𝑟𝑎𝑡𝑖𝑜𝑛</m:t>
                  </m:r>
                  <m:r>
                    <a:rPr lang="en-US" sz="1100" b="0" i="1" baseline="0">
                      <a:latin typeface="Cambria Math" panose="02040503050406030204" pitchFamily="18" charset="0"/>
                    </a:rPr>
                    <m:t> </m:t>
                  </m:r>
                  <m:r>
                    <a:rPr lang="en-US" sz="1100" b="0" i="1" baseline="0">
                      <a:latin typeface="Cambria Math" panose="02040503050406030204" pitchFamily="18" charset="0"/>
                    </a:rPr>
                    <m:t>𝑋</m:t>
                  </m:r>
                  <m:r>
                    <a:rPr lang="en-US" sz="1100" b="0" i="1" baseline="0">
                      <a:latin typeface="Cambria Math" panose="02040503050406030204" pitchFamily="18" charset="0"/>
                    </a:rPr>
                    <m:t> </m:t>
                  </m:r>
                  <m:r>
                    <a:rPr lang="en-US" sz="1100" b="0" i="1" baseline="0">
                      <a:latin typeface="Cambria Math" panose="02040503050406030204" pitchFamily="18" charset="0"/>
                    </a:rPr>
                    <m:t>𝑔𝑎𝑙𝑙𝑜𝑛𝑠</m:t>
                  </m:r>
                  <m:r>
                    <a:rPr lang="en-US" sz="1100" b="0" i="1" baseline="0">
                      <a:latin typeface="Cambria Math" panose="02040503050406030204" pitchFamily="18" charset="0"/>
                    </a:rPr>
                    <m:t> </m:t>
                  </m:r>
                  <m:r>
                    <a:rPr lang="en-US" sz="1100" b="0" i="1" baseline="0">
                      <a:latin typeface="Cambria Math" panose="02040503050406030204" pitchFamily="18" charset="0"/>
                    </a:rPr>
                    <m:t>𝑜𝑓</m:t>
                  </m:r>
                  <m:r>
                    <a:rPr lang="en-US" sz="1100" b="0" i="1" baseline="0">
                      <a:latin typeface="Cambria Math" panose="02040503050406030204" pitchFamily="18" charset="0"/>
                    </a:rPr>
                    <m:t> </m:t>
                  </m:r>
                  <m:r>
                    <a:rPr lang="en-US" sz="1100" b="0" i="1" baseline="0">
                      <a:latin typeface="Cambria Math" panose="02040503050406030204" pitchFamily="18" charset="0"/>
                    </a:rPr>
                    <m:t>𝑤𝑎𝑡𝑒𝑟</m:t>
                  </m:r>
                  <m:r>
                    <a:rPr lang="en-US" sz="1100" b="0" i="1" baseline="0">
                      <a:latin typeface="Cambria Math" panose="02040503050406030204" pitchFamily="18" charset="0"/>
                    </a:rPr>
                    <m:t> </m:t>
                  </m:r>
                  <m:r>
                    <a:rPr lang="en-US" sz="1100" b="0" i="1" baseline="0">
                      <a:latin typeface="Cambria Math" panose="02040503050406030204" pitchFamily="18" charset="0"/>
                    </a:rPr>
                    <m:t>𝑝𝑒𝑟</m:t>
                  </m:r>
                  <m:r>
                    <a:rPr lang="en-US" sz="1100" b="0" i="1" baseline="0">
                      <a:latin typeface="Cambria Math" panose="02040503050406030204" pitchFamily="18" charset="0"/>
                    </a:rPr>
                    <m:t> </m:t>
                  </m:r>
                  <m:r>
                    <a:rPr lang="en-US" sz="1100" b="0" i="1" baseline="0">
                      <a:latin typeface="Cambria Math" panose="02040503050406030204" pitchFamily="18" charset="0"/>
                    </a:rPr>
                    <m:t>𝑝𝑜𝑢𝑛𝑑</m:t>
                  </m:r>
                  <m:r>
                    <a:rPr lang="en-US" sz="1100" b="0" i="1" baseline="0">
                      <a:latin typeface="Cambria Math" panose="02040503050406030204" pitchFamily="18" charset="0"/>
                    </a:rPr>
                    <m:t> </m:t>
                  </m:r>
                  <m:r>
                    <a:rPr lang="en-US" sz="1100" b="0" i="1" baseline="0">
                      <a:latin typeface="Cambria Math" panose="02040503050406030204" pitchFamily="18" charset="0"/>
                    </a:rPr>
                    <m:t>𝑋</m:t>
                  </m:r>
                  <m:r>
                    <a:rPr lang="en-US" sz="1100" b="0" i="1" baseline="0">
                      <a:latin typeface="Cambria Math" panose="02040503050406030204" pitchFamily="18" charset="0"/>
                    </a:rPr>
                    <m:t> 365  </m:t>
                  </m:r>
                </m:oMath>
              </a14:m>
              <a:endParaRPr lang="en-US" sz="1100"/>
            </a:p>
            <a:p>
              <a:r>
                <a:rPr lang="en-US" sz="1100"/>
                <a:t>This </a:t>
              </a:r>
              <a:r>
                <a:rPr lang="en-US" sz="1100" b="1"/>
                <a:t>Maximum</a:t>
              </a:r>
              <a:r>
                <a:rPr lang="en-US" sz="1100" b="1" baseline="0"/>
                <a:t> Annual Discharge Limit </a:t>
              </a:r>
              <a:r>
                <a:rPr lang="en-US" sz="1100" baseline="0"/>
                <a:t>is used to assess compliance Decemeber of each year</a:t>
              </a:r>
              <a:endParaRPr lang="en-US" sz="1100"/>
            </a:p>
          </xdr:txBody>
        </xdr:sp>
      </mc:Choice>
      <mc:Fallback>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4189941" y="8554509"/>
              <a:ext cx="5767917"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Maximum Annual Discharge Limit </a:t>
              </a:r>
              <a:r>
                <a:rPr lang="en-US" sz="1100" b="0" baseline="0"/>
                <a:t>is calculated by the </a:t>
              </a:r>
              <a:r>
                <a:rPr lang="en-US" sz="1100" b="0" i="0" baseline="0">
                  <a:latin typeface="Cambria Math" panose="02040503050406030204" pitchFamily="18" charset="0"/>
                </a:rPr>
                <a:t>𝑑𝑒𝑠𝑖𝑔𝑛 𝑓𝑙𝑜𝑤 𝑋 𝑀𝑎𝑥𝑖𝑚𝑢𝑚 𝐸𝑓𝑓𝑙𝑢𝑒𝑛𝑡 𝐶𝑜𝑛𝑐𝑒𝑛𝑡𝑟𝑎𝑡𝑖𝑜𝑛 𝑋 𝑔𝑎𝑙𝑙𝑜𝑛𝑠 𝑜𝑓 𝑤𝑎𝑡𝑒𝑟 𝑝𝑒𝑟 𝑝𝑜𝑢𝑛𝑑 𝑋 365  </a:t>
              </a:r>
              <a:endParaRPr lang="en-US" sz="1100"/>
            </a:p>
            <a:p>
              <a:r>
                <a:rPr lang="en-US" sz="1100"/>
                <a:t>This </a:t>
              </a:r>
              <a:r>
                <a:rPr lang="en-US" sz="1100" b="1"/>
                <a:t>Maximum</a:t>
              </a:r>
              <a:r>
                <a:rPr lang="en-US" sz="1100" b="1" baseline="0"/>
                <a:t> Annual Discharge Limit </a:t>
              </a:r>
              <a:r>
                <a:rPr lang="en-US" sz="1100" baseline="0"/>
                <a:t>is used to assess compliance Decemeber of each year</a:t>
              </a:r>
              <a:endParaRPr lang="en-US" sz="1100"/>
            </a:p>
          </xdr:txBody>
        </xdr:sp>
      </mc:Fallback>
    </mc:AlternateContent>
    <xdr:clientData/>
  </xdr:twoCellAnchor>
  <xdr:twoCellAnchor>
    <xdr:from>
      <xdr:col>6</xdr:col>
      <xdr:colOff>495300</xdr:colOff>
      <xdr:row>39</xdr:row>
      <xdr:rowOff>47626</xdr:rowOff>
    </xdr:from>
    <xdr:to>
      <xdr:col>6</xdr:col>
      <xdr:colOff>638175</xdr:colOff>
      <xdr:row>40</xdr:row>
      <xdr:rowOff>95250</xdr:rowOff>
    </xdr:to>
    <xdr:cxnSp macro="">
      <xdr:nvCxnSpPr>
        <xdr:cNvPr id="22" name="Straight Arrow Connector 21">
          <a:extLst>
            <a:ext uri="{FF2B5EF4-FFF2-40B4-BE49-F238E27FC236}">
              <a16:creationId xmlns:a16="http://schemas.microsoft.com/office/drawing/2014/main" id="{00000000-0008-0000-0300-000016000000}"/>
            </a:ext>
          </a:extLst>
        </xdr:cNvPr>
        <xdr:cNvCxnSpPr/>
      </xdr:nvCxnSpPr>
      <xdr:spPr>
        <a:xfrm flipH="1" flipV="1">
          <a:off x="6248400" y="8105776"/>
          <a:ext cx="142875" cy="23812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361948</xdr:colOff>
      <xdr:row>3</xdr:row>
      <xdr:rowOff>57151</xdr:rowOff>
    </xdr:from>
    <xdr:to>
      <xdr:col>16</xdr:col>
      <xdr:colOff>219075</xdr:colOff>
      <xdr:row>15</xdr:row>
      <xdr:rowOff>152400</xdr:rowOff>
    </xdr:to>
    <mc:AlternateContent xmlns:mc="http://schemas.openxmlformats.org/markup-compatibility/2006">
      <mc:Choice xmlns:a14="http://schemas.microsoft.com/office/drawing/2010/main" Requires="a14">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7248523" y="1400176"/>
              <a:ext cx="4781552" cy="2381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t>Annual Phosphorus Credit (lbs/yr)</a:t>
              </a:r>
              <a:r>
                <a:rPr lang="en-US" sz="1100" b="1" baseline="0"/>
                <a:t> </a:t>
              </a:r>
              <a:r>
                <a:rPr lang="en-US" sz="1100" baseline="0"/>
                <a:t>is applied in December of each year for compliance. </a:t>
              </a:r>
              <a:r>
                <a:rPr lang="en-US" sz="1100" baseline="0">
                  <a:solidFill>
                    <a:schemeClr val="dk1"/>
                  </a:solidFill>
                  <a:effectLst/>
                  <a:latin typeface="+mn-lt"/>
                  <a:ea typeface="+mn-ea"/>
                  <a:cs typeface="+mn-cs"/>
                </a:rPr>
                <a:t>The </a:t>
              </a:r>
              <a:r>
                <a:rPr lang="en-US" sz="1100" b="1" baseline="0">
                  <a:solidFill>
                    <a:schemeClr val="dk1"/>
                  </a:solidFill>
                  <a:effectLst/>
                  <a:latin typeface="+mn-lt"/>
                  <a:ea typeface="+mn-ea"/>
                  <a:cs typeface="+mn-cs"/>
                </a:rPr>
                <a:t>Annual Phosphorus Credits</a:t>
              </a:r>
              <a:r>
                <a:rPr lang="en-US" sz="1100" baseline="0">
                  <a:solidFill>
                    <a:schemeClr val="dk1"/>
                  </a:solidFill>
                  <a:effectLst/>
                  <a:latin typeface="+mn-lt"/>
                  <a:ea typeface="+mn-ea"/>
                  <a:cs typeface="+mn-cs"/>
                </a:rPr>
                <a:t> projected to be used are estimated by subtracting the </a:t>
              </a:r>
              <a:r>
                <a:rPr lang="en-US" sz="1100" b="1" baseline="0">
                  <a:solidFill>
                    <a:schemeClr val="dk1"/>
                  </a:solidFill>
                  <a:effectLst/>
                  <a:latin typeface="+mn-lt"/>
                  <a:ea typeface="+mn-ea"/>
                  <a:cs typeface="+mn-cs"/>
                </a:rPr>
                <a:t>Target Reduction Level (lbs) </a:t>
              </a:r>
              <a:r>
                <a:rPr lang="en-US" sz="1100" baseline="0">
                  <a:solidFill>
                    <a:schemeClr val="dk1"/>
                  </a:solidFill>
                  <a:effectLst/>
                  <a:latin typeface="+mn-lt"/>
                  <a:ea typeface="+mn-ea"/>
                  <a:cs typeface="+mn-cs"/>
                </a:rPr>
                <a:t>from the previous year's </a:t>
              </a:r>
              <a:r>
                <a:rPr lang="en-US" sz="1100" b="1" baseline="0">
                  <a:solidFill>
                    <a:schemeClr val="dk1"/>
                  </a:solidFill>
                  <a:effectLst/>
                  <a:latin typeface="+mn-lt"/>
                  <a:ea typeface="+mn-ea"/>
                  <a:cs typeface="+mn-cs"/>
                </a:rPr>
                <a:t>Phosphorus 12 Month Rolling Total (lbs/yr) </a:t>
              </a:r>
              <a:r>
                <a:rPr lang="en-US" sz="1100" b="0" baseline="0">
                  <a:solidFill>
                    <a:schemeClr val="dk1"/>
                  </a:solidFill>
                  <a:effectLst/>
                  <a:latin typeface="+mn-lt"/>
                  <a:ea typeface="+mn-ea"/>
                  <a:cs typeface="+mn-cs"/>
                </a:rPr>
                <a:t>(</a:t>
              </a:r>
              <a14:m>
                <m:oMath xmlns:m="http://schemas.openxmlformats.org/officeDocument/2006/math">
                  <m:r>
                    <a:rPr lang="en-US" sz="1100" b="0" i="1" baseline="0">
                      <a:solidFill>
                        <a:schemeClr val="dk1"/>
                      </a:solidFill>
                      <a:effectLst/>
                      <a:latin typeface="Cambria Math" panose="02040503050406030204" pitchFamily="18" charset="0"/>
                      <a:ea typeface="+mn-ea"/>
                      <a:cs typeface="+mn-cs"/>
                    </a:rPr>
                    <m:t>640,396.14 − 154,314.19</m:t>
                  </m:r>
                </m:oMath>
              </a14:m>
              <a:r>
                <a:rPr lang="en-US" sz="1100" b="0" baseline="0">
                  <a:solidFill>
                    <a:schemeClr val="dk1"/>
                  </a:solidFill>
                  <a:effectLst/>
                  <a:latin typeface="+mn-lt"/>
                  <a:ea typeface="+mn-ea"/>
                  <a:cs typeface="+mn-cs"/>
                </a:rPr>
                <a:t> = ~490,000 credits needed). This value is then used as the </a:t>
              </a:r>
              <a:r>
                <a:rPr lang="en-US" sz="1100" b="1" baseline="0">
                  <a:solidFill>
                    <a:schemeClr val="dk1"/>
                  </a:solidFill>
                  <a:effectLst/>
                  <a:latin typeface="+mn-lt"/>
                  <a:ea typeface="+mn-ea"/>
                  <a:cs typeface="+mn-cs"/>
                </a:rPr>
                <a:t>Annual Phosphorus Credit </a:t>
              </a:r>
              <a:r>
                <a:rPr lang="en-US" sz="1100" b="0" baseline="0">
                  <a:solidFill>
                    <a:schemeClr val="dk1"/>
                  </a:solidFill>
                  <a:effectLst/>
                  <a:latin typeface="+mn-lt"/>
                  <a:ea typeface="+mn-ea"/>
                  <a:cs typeface="+mn-cs"/>
                </a:rPr>
                <a:t> in the following months (</a:t>
              </a:r>
              <a:r>
                <a:rPr lang="en-US" sz="1100" baseline="0">
                  <a:solidFill>
                    <a:schemeClr val="dk1"/>
                  </a:solidFill>
                  <a:effectLst/>
                  <a:latin typeface="+mn-lt"/>
                  <a:ea typeface="+mn-ea"/>
                  <a:cs typeface="+mn-cs"/>
                </a:rPr>
                <a:t>January-November) for purposes of monitoring the </a:t>
              </a:r>
              <a:r>
                <a:rPr lang="en-US" sz="1100" b="1" baseline="0">
                  <a:solidFill>
                    <a:schemeClr val="dk1"/>
                  </a:solidFill>
                  <a:effectLst/>
                  <a:latin typeface="+mn-lt"/>
                  <a:ea typeface="+mn-ea"/>
                  <a:cs typeface="+mn-cs"/>
                </a:rPr>
                <a:t>Phosphorus Annual Total After Credit Limit</a:t>
              </a:r>
              <a:r>
                <a:rPr lang="en-US" sz="110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These calculated </a:t>
              </a:r>
              <a:r>
                <a:rPr lang="en-US" sz="1100" b="1" baseline="0">
                  <a:solidFill>
                    <a:schemeClr val="dk1"/>
                  </a:solidFill>
                  <a:effectLst/>
                  <a:latin typeface="+mn-lt"/>
                  <a:ea typeface="+mn-ea"/>
                  <a:cs typeface="+mn-cs"/>
                </a:rPr>
                <a:t>Phosphorus Annual Total After Credit Limit</a:t>
              </a:r>
              <a:r>
                <a:rPr lang="en-US" sz="1100" b="0" baseline="0">
                  <a:solidFill>
                    <a:schemeClr val="dk1"/>
                  </a:solidFill>
                  <a:effectLst/>
                  <a:latin typeface="+mn-lt"/>
                  <a:ea typeface="+mn-ea"/>
                  <a:cs typeface="+mn-cs"/>
                </a:rPr>
                <a:t> </a:t>
              </a:r>
              <a:r>
                <a:rPr lang="en-US" sz="1100" baseline="0">
                  <a:solidFill>
                    <a:schemeClr val="dk1"/>
                  </a:solidFill>
                  <a:effectLst/>
                  <a:latin typeface="+mn-lt"/>
                  <a:ea typeface="+mn-ea"/>
                  <a:cs typeface="+mn-cs"/>
                </a:rPr>
                <a:t>values are not used in compliance determination, rather it is for the facility to project whether their December </a:t>
              </a:r>
              <a:r>
                <a:rPr lang="en-US" sz="1100" b="1" baseline="0">
                  <a:solidFill>
                    <a:schemeClr val="dk1"/>
                  </a:solidFill>
                  <a:effectLst/>
                  <a:latin typeface="+mn-lt"/>
                  <a:ea typeface="+mn-ea"/>
                  <a:cs typeface="+mn-cs"/>
                </a:rPr>
                <a:t>Phosphorus Annual Total After Credit Limit </a:t>
              </a:r>
              <a:r>
                <a:rPr lang="en-US" sz="1100" baseline="0">
                  <a:solidFill>
                    <a:schemeClr val="dk1"/>
                  </a:solidFill>
                  <a:effectLst/>
                  <a:latin typeface="+mn-lt"/>
                  <a:ea typeface="+mn-ea"/>
                  <a:cs typeface="+mn-cs"/>
                </a:rPr>
                <a:t>will be in compliance with their </a:t>
              </a:r>
              <a:r>
                <a:rPr lang="en-US" sz="1100" b="1" baseline="0">
                  <a:solidFill>
                    <a:schemeClr val="dk1"/>
                  </a:solidFill>
                  <a:effectLst/>
                  <a:latin typeface="+mn-lt"/>
                  <a:ea typeface="+mn-ea"/>
                  <a:cs typeface="+mn-cs"/>
                </a:rPr>
                <a:t>Target Reduction Level </a:t>
              </a:r>
              <a:r>
                <a:rPr lang="en-US" sz="1100" b="0" baseline="0">
                  <a:solidFill>
                    <a:schemeClr val="dk1"/>
                  </a:solidFill>
                  <a:effectLst/>
                  <a:latin typeface="+mn-lt"/>
                  <a:ea typeface="+mn-ea"/>
                  <a:cs typeface="+mn-cs"/>
                </a:rPr>
                <a:t>or if the facility needs to optimize their treatment or accrue more credits</a:t>
              </a:r>
              <a:r>
                <a:rPr lang="en-US" sz="1100" b="1" baseline="0">
                  <a:solidFill>
                    <a:schemeClr val="dk1"/>
                  </a:solidFill>
                  <a:effectLst/>
                  <a:latin typeface="+mn-lt"/>
                  <a:ea typeface="+mn-ea"/>
                  <a:cs typeface="+mn-cs"/>
                </a:rPr>
                <a:t>.</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mc:Choice>
      <mc:Fallback>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7248523" y="1400176"/>
              <a:ext cx="4781552" cy="2381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t>Annual Phosphorus Credit (lbs/yr)</a:t>
              </a:r>
              <a:r>
                <a:rPr lang="en-US" sz="1100" b="1" baseline="0"/>
                <a:t> </a:t>
              </a:r>
              <a:r>
                <a:rPr lang="en-US" sz="1100" baseline="0"/>
                <a:t>is applied in December of each year for compliance. </a:t>
              </a:r>
              <a:r>
                <a:rPr lang="en-US" sz="1100" baseline="0">
                  <a:solidFill>
                    <a:schemeClr val="dk1"/>
                  </a:solidFill>
                  <a:effectLst/>
                  <a:latin typeface="+mn-lt"/>
                  <a:ea typeface="+mn-ea"/>
                  <a:cs typeface="+mn-cs"/>
                </a:rPr>
                <a:t>The </a:t>
              </a:r>
              <a:r>
                <a:rPr lang="en-US" sz="1100" b="1" baseline="0">
                  <a:solidFill>
                    <a:schemeClr val="dk1"/>
                  </a:solidFill>
                  <a:effectLst/>
                  <a:latin typeface="+mn-lt"/>
                  <a:ea typeface="+mn-ea"/>
                  <a:cs typeface="+mn-cs"/>
                </a:rPr>
                <a:t>Annual Phosphorus Credits</a:t>
              </a:r>
              <a:r>
                <a:rPr lang="en-US" sz="1100" baseline="0">
                  <a:solidFill>
                    <a:schemeClr val="dk1"/>
                  </a:solidFill>
                  <a:effectLst/>
                  <a:latin typeface="+mn-lt"/>
                  <a:ea typeface="+mn-ea"/>
                  <a:cs typeface="+mn-cs"/>
                </a:rPr>
                <a:t> projected to be used are estimated by subtracting the </a:t>
              </a:r>
              <a:r>
                <a:rPr lang="en-US" sz="1100" b="1" baseline="0">
                  <a:solidFill>
                    <a:schemeClr val="dk1"/>
                  </a:solidFill>
                  <a:effectLst/>
                  <a:latin typeface="+mn-lt"/>
                  <a:ea typeface="+mn-ea"/>
                  <a:cs typeface="+mn-cs"/>
                </a:rPr>
                <a:t>Target Reduction Level (lbs) </a:t>
              </a:r>
              <a:r>
                <a:rPr lang="en-US" sz="1100" baseline="0">
                  <a:solidFill>
                    <a:schemeClr val="dk1"/>
                  </a:solidFill>
                  <a:effectLst/>
                  <a:latin typeface="+mn-lt"/>
                  <a:ea typeface="+mn-ea"/>
                  <a:cs typeface="+mn-cs"/>
                </a:rPr>
                <a:t>from the previous year's </a:t>
              </a:r>
              <a:r>
                <a:rPr lang="en-US" sz="1100" b="1" baseline="0">
                  <a:solidFill>
                    <a:schemeClr val="dk1"/>
                  </a:solidFill>
                  <a:effectLst/>
                  <a:latin typeface="+mn-lt"/>
                  <a:ea typeface="+mn-ea"/>
                  <a:cs typeface="+mn-cs"/>
                </a:rPr>
                <a:t>Phosphorus 12 Month Rolling Total (lbs/yr) </a:t>
              </a:r>
              <a:r>
                <a:rPr lang="en-US" sz="1100" b="0" baseline="0">
                  <a:solidFill>
                    <a:schemeClr val="dk1"/>
                  </a:solidFill>
                  <a:effectLst/>
                  <a:latin typeface="+mn-lt"/>
                  <a:ea typeface="+mn-ea"/>
                  <a:cs typeface="+mn-cs"/>
                </a:rPr>
                <a:t>(</a:t>
              </a:r>
              <a:r>
                <a:rPr lang="en-US" sz="1100" b="0" i="0" baseline="0">
                  <a:solidFill>
                    <a:schemeClr val="dk1"/>
                  </a:solidFill>
                  <a:effectLst/>
                  <a:latin typeface="Cambria Math" panose="02040503050406030204" pitchFamily="18" charset="0"/>
                  <a:ea typeface="+mn-ea"/>
                  <a:cs typeface="+mn-cs"/>
                </a:rPr>
                <a:t>640,396.14 − 154,314.19</a:t>
              </a:r>
              <a:r>
                <a:rPr lang="en-US" sz="1100" b="0" baseline="0">
                  <a:solidFill>
                    <a:schemeClr val="dk1"/>
                  </a:solidFill>
                  <a:effectLst/>
                  <a:latin typeface="+mn-lt"/>
                  <a:ea typeface="+mn-ea"/>
                  <a:cs typeface="+mn-cs"/>
                </a:rPr>
                <a:t> = ~490,000 credits needed). This value is then used as the </a:t>
              </a:r>
              <a:r>
                <a:rPr lang="en-US" sz="1100" b="1" baseline="0">
                  <a:solidFill>
                    <a:schemeClr val="dk1"/>
                  </a:solidFill>
                  <a:effectLst/>
                  <a:latin typeface="+mn-lt"/>
                  <a:ea typeface="+mn-ea"/>
                  <a:cs typeface="+mn-cs"/>
                </a:rPr>
                <a:t>Annual Phosphorus Credit </a:t>
              </a:r>
              <a:r>
                <a:rPr lang="en-US" sz="1100" b="0" baseline="0">
                  <a:solidFill>
                    <a:schemeClr val="dk1"/>
                  </a:solidFill>
                  <a:effectLst/>
                  <a:latin typeface="+mn-lt"/>
                  <a:ea typeface="+mn-ea"/>
                  <a:cs typeface="+mn-cs"/>
                </a:rPr>
                <a:t> in the following months (</a:t>
              </a:r>
              <a:r>
                <a:rPr lang="en-US" sz="1100" baseline="0">
                  <a:solidFill>
                    <a:schemeClr val="dk1"/>
                  </a:solidFill>
                  <a:effectLst/>
                  <a:latin typeface="+mn-lt"/>
                  <a:ea typeface="+mn-ea"/>
                  <a:cs typeface="+mn-cs"/>
                </a:rPr>
                <a:t>January-November) for purposes of monitoring the </a:t>
              </a:r>
              <a:r>
                <a:rPr lang="en-US" sz="1100" b="1" baseline="0">
                  <a:solidFill>
                    <a:schemeClr val="dk1"/>
                  </a:solidFill>
                  <a:effectLst/>
                  <a:latin typeface="+mn-lt"/>
                  <a:ea typeface="+mn-ea"/>
                  <a:cs typeface="+mn-cs"/>
                </a:rPr>
                <a:t>Phosphorus Annual Total After Credit Limit</a:t>
              </a:r>
              <a:r>
                <a:rPr lang="en-US" sz="1100"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These calculated </a:t>
              </a:r>
              <a:r>
                <a:rPr lang="en-US" sz="1100" b="1" baseline="0">
                  <a:solidFill>
                    <a:schemeClr val="dk1"/>
                  </a:solidFill>
                  <a:effectLst/>
                  <a:latin typeface="+mn-lt"/>
                  <a:ea typeface="+mn-ea"/>
                  <a:cs typeface="+mn-cs"/>
                </a:rPr>
                <a:t>Phosphorus Annual Total After Credit Limit</a:t>
              </a:r>
              <a:r>
                <a:rPr lang="en-US" sz="1100" b="0" baseline="0">
                  <a:solidFill>
                    <a:schemeClr val="dk1"/>
                  </a:solidFill>
                  <a:effectLst/>
                  <a:latin typeface="+mn-lt"/>
                  <a:ea typeface="+mn-ea"/>
                  <a:cs typeface="+mn-cs"/>
                </a:rPr>
                <a:t> </a:t>
              </a:r>
              <a:r>
                <a:rPr lang="en-US" sz="1100" baseline="0">
                  <a:solidFill>
                    <a:schemeClr val="dk1"/>
                  </a:solidFill>
                  <a:effectLst/>
                  <a:latin typeface="+mn-lt"/>
                  <a:ea typeface="+mn-ea"/>
                  <a:cs typeface="+mn-cs"/>
                </a:rPr>
                <a:t>values are not used in compliance determination, rather it is for the facility to project whether their December </a:t>
              </a:r>
              <a:r>
                <a:rPr lang="en-US" sz="1100" b="1" baseline="0">
                  <a:solidFill>
                    <a:schemeClr val="dk1"/>
                  </a:solidFill>
                  <a:effectLst/>
                  <a:latin typeface="+mn-lt"/>
                  <a:ea typeface="+mn-ea"/>
                  <a:cs typeface="+mn-cs"/>
                </a:rPr>
                <a:t>Phosphorus Annual Total After Credit Limit </a:t>
              </a:r>
              <a:r>
                <a:rPr lang="en-US" sz="1100" baseline="0">
                  <a:solidFill>
                    <a:schemeClr val="dk1"/>
                  </a:solidFill>
                  <a:effectLst/>
                  <a:latin typeface="+mn-lt"/>
                  <a:ea typeface="+mn-ea"/>
                  <a:cs typeface="+mn-cs"/>
                </a:rPr>
                <a:t>will be in compliance with their </a:t>
              </a:r>
              <a:r>
                <a:rPr lang="en-US" sz="1100" b="1" baseline="0">
                  <a:solidFill>
                    <a:schemeClr val="dk1"/>
                  </a:solidFill>
                  <a:effectLst/>
                  <a:latin typeface="+mn-lt"/>
                  <a:ea typeface="+mn-ea"/>
                  <a:cs typeface="+mn-cs"/>
                </a:rPr>
                <a:t>Target Reduction Level </a:t>
              </a:r>
              <a:r>
                <a:rPr lang="en-US" sz="1100" b="0" baseline="0">
                  <a:solidFill>
                    <a:schemeClr val="dk1"/>
                  </a:solidFill>
                  <a:effectLst/>
                  <a:latin typeface="+mn-lt"/>
                  <a:ea typeface="+mn-ea"/>
                  <a:cs typeface="+mn-cs"/>
                </a:rPr>
                <a:t>or if the facility needs to optimize their treatment or accrue more credits</a:t>
              </a:r>
              <a:r>
                <a:rPr lang="en-US" sz="1100" b="1" baseline="0">
                  <a:solidFill>
                    <a:schemeClr val="dk1"/>
                  </a:solidFill>
                  <a:effectLst/>
                  <a:latin typeface="+mn-lt"/>
                  <a:ea typeface="+mn-ea"/>
                  <a:cs typeface="+mn-cs"/>
                </a:rPr>
                <a:t>.</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a:p>
          </xdr:txBody>
        </xdr:sp>
      </mc:Fallback>
    </mc:AlternateContent>
    <xdr:clientData/>
  </xdr:twoCellAnchor>
  <xdr:twoCellAnchor>
    <xdr:from>
      <xdr:col>10</xdr:col>
      <xdr:colOff>38099</xdr:colOff>
      <xdr:row>18</xdr:row>
      <xdr:rowOff>152399</xdr:rowOff>
    </xdr:from>
    <xdr:to>
      <xdr:col>18</xdr:col>
      <xdr:colOff>504825</xdr:colOff>
      <xdr:row>29</xdr:row>
      <xdr:rowOff>161924</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534274" y="4352924"/>
          <a:ext cx="6000751" cy="2124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a:t>
          </a:r>
          <a:r>
            <a:rPr lang="en-US" sz="1100" b="1">
              <a:solidFill>
                <a:schemeClr val="dk1"/>
              </a:solidFill>
              <a:effectLst/>
              <a:latin typeface="+mn-lt"/>
              <a:ea typeface="+mn-ea"/>
              <a:cs typeface="+mn-cs"/>
            </a:rPr>
            <a:t>Phosphorus Annual Total After Credit Limit (lbs/yr)</a:t>
          </a:r>
          <a:r>
            <a:rPr lang="en-US" sz="1100">
              <a:solidFill>
                <a:schemeClr val="dk1"/>
              </a:solidFill>
              <a:effectLst/>
              <a:latin typeface="+mn-lt"/>
              <a:ea typeface="+mn-ea"/>
              <a:cs typeface="+mn-cs"/>
            </a:rPr>
            <a:t> is calculated by reducing the facility’s actual annual effluent phosphorus load for the previous 12 months. Compliance is evaluated</a:t>
          </a:r>
          <a:r>
            <a:rPr lang="en-US" sz="1100" baseline="0">
              <a:solidFill>
                <a:schemeClr val="dk1"/>
              </a:solidFill>
              <a:effectLst/>
              <a:latin typeface="+mn-lt"/>
              <a:ea typeface="+mn-ea"/>
              <a:cs typeface="+mn-cs"/>
            </a:rPr>
            <a:t> in December of each year, or dyrung the Annual Reconciliation period ending MArch 28. In December of each year, a facility may use more or less</a:t>
          </a:r>
          <a:r>
            <a:rPr lang="en-US" sz="1100" b="1" baseline="0">
              <a:solidFill>
                <a:schemeClr val="dk1"/>
              </a:solidFill>
              <a:effectLst/>
              <a:latin typeface="+mn-lt"/>
              <a:ea typeface="+mn-ea"/>
              <a:cs typeface="+mn-cs"/>
            </a:rPr>
            <a:t> Annual Phosphorus Credits</a:t>
          </a:r>
          <a:r>
            <a:rPr lang="en-US" sz="1100" baseline="0">
              <a:solidFill>
                <a:schemeClr val="dk1"/>
              </a:solidFill>
              <a:effectLst/>
              <a:latin typeface="+mn-lt"/>
              <a:ea typeface="+mn-ea"/>
              <a:cs typeface="+mn-cs"/>
            </a:rPr>
            <a:t> than projected/used in the monthly reporting of </a:t>
          </a:r>
          <a:r>
            <a:rPr lang="en-US" sz="1100" b="1" baseline="0">
              <a:solidFill>
                <a:schemeClr val="dk1"/>
              </a:solidFill>
              <a:effectLst/>
              <a:latin typeface="+mn-lt"/>
              <a:ea typeface="+mn-ea"/>
              <a:cs typeface="+mn-cs"/>
            </a:rPr>
            <a:t>Phosphorus Annual Total After Credit Limits (lbs/yr)</a:t>
          </a:r>
          <a:r>
            <a:rPr lang="en-US" sz="1100" baseline="0">
              <a:solidFill>
                <a:schemeClr val="dk1"/>
              </a:solidFill>
              <a:effectLst/>
              <a:latin typeface="+mn-lt"/>
              <a:ea typeface="+mn-ea"/>
              <a:cs typeface="+mn-cs"/>
            </a:rPr>
            <a:t> in order to reach compliance. For instance, this example shows that the facility accrued 490,000(lbs) of Annual Phosphorus Credits to use in 2020, however only 445,000 Annual Phosphorus Credits were needed to reach compliance with the facility's Target Reduction Level in December 2020. This equates to 45,000 lbs of credits that can be carried over into the next year as long as they are still eligible for use within their Credit Time Term (5 years after generation in a unrestricted trading zone, 2 years after generation in a restricted trading zone). </a:t>
          </a:r>
          <a:endParaRPr lang="en-US" sz="1100"/>
        </a:p>
      </xdr:txBody>
    </xdr:sp>
    <xdr:clientData/>
  </xdr:twoCellAnchor>
  <xdr:twoCellAnchor>
    <xdr:from>
      <xdr:col>7</xdr:col>
      <xdr:colOff>533403</xdr:colOff>
      <xdr:row>5</xdr:row>
      <xdr:rowOff>104774</xdr:rowOff>
    </xdr:from>
    <xdr:to>
      <xdr:col>9</xdr:col>
      <xdr:colOff>295276</xdr:colOff>
      <xdr:row>11</xdr:row>
      <xdr:rowOff>133349</xdr:rowOff>
    </xdr:to>
    <xdr:cxnSp macro="">
      <xdr:nvCxnSpPr>
        <xdr:cNvPr id="9" name="Elbow Connector 8">
          <a:extLst>
            <a:ext uri="{FF2B5EF4-FFF2-40B4-BE49-F238E27FC236}">
              <a16:creationId xmlns:a16="http://schemas.microsoft.com/office/drawing/2014/main" id="{00000000-0008-0000-0400-000009000000}"/>
            </a:ext>
          </a:extLst>
        </xdr:cNvPr>
        <xdr:cNvCxnSpPr/>
      </xdr:nvCxnSpPr>
      <xdr:spPr>
        <a:xfrm rot="10800000" flipV="1">
          <a:off x="4762503" y="1758314"/>
          <a:ext cx="1605913" cy="1125855"/>
        </a:xfrm>
        <a:prstGeom prst="bentConnector3">
          <a:avLst>
            <a:gd name="adj1" fmla="val 99718"/>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12</xdr:row>
      <xdr:rowOff>104775</xdr:rowOff>
    </xdr:from>
    <xdr:to>
      <xdr:col>9</xdr:col>
      <xdr:colOff>342900</xdr:colOff>
      <xdr:row>14</xdr:row>
      <xdr:rowOff>28575</xdr:rowOff>
    </xdr:to>
    <xdr:cxnSp macro="">
      <xdr:nvCxnSpPr>
        <xdr:cNvPr id="100" name="Straight Arrow Connector 99">
          <a:extLst>
            <a:ext uri="{FF2B5EF4-FFF2-40B4-BE49-F238E27FC236}">
              <a16:creationId xmlns:a16="http://schemas.microsoft.com/office/drawing/2014/main" id="{00000000-0008-0000-0400-000064000000}"/>
            </a:ext>
          </a:extLst>
        </xdr:cNvPr>
        <xdr:cNvCxnSpPr/>
      </xdr:nvCxnSpPr>
      <xdr:spPr>
        <a:xfrm flipH="1">
          <a:off x="6924675" y="3162300"/>
          <a:ext cx="304800" cy="3048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24</xdr:row>
      <xdr:rowOff>61912</xdr:rowOff>
    </xdr:from>
    <xdr:to>
      <xdr:col>10</xdr:col>
      <xdr:colOff>38099</xdr:colOff>
      <xdr:row>24</xdr:row>
      <xdr:rowOff>66675</xdr:rowOff>
    </xdr:to>
    <xdr:cxnSp macro="">
      <xdr:nvCxnSpPr>
        <xdr:cNvPr id="101" name="Straight Arrow Connector 100">
          <a:extLst>
            <a:ext uri="{FF2B5EF4-FFF2-40B4-BE49-F238E27FC236}">
              <a16:creationId xmlns:a16="http://schemas.microsoft.com/office/drawing/2014/main" id="{00000000-0008-0000-0400-000065000000}"/>
            </a:ext>
          </a:extLst>
        </xdr:cNvPr>
        <xdr:cNvCxnSpPr>
          <a:stCxn id="3" idx="1"/>
        </xdr:cNvCxnSpPr>
      </xdr:nvCxnSpPr>
      <xdr:spPr>
        <a:xfrm flipH="1">
          <a:off x="6905625" y="5414962"/>
          <a:ext cx="628649" cy="476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26</xdr:row>
      <xdr:rowOff>142878</xdr:rowOff>
    </xdr:from>
    <xdr:to>
      <xdr:col>9</xdr:col>
      <xdr:colOff>190508</xdr:colOff>
      <xdr:row>36</xdr:row>
      <xdr:rowOff>85729</xdr:rowOff>
    </xdr:to>
    <xdr:cxnSp macro="">
      <xdr:nvCxnSpPr>
        <xdr:cNvPr id="106" name="Elbow Connector 105">
          <a:extLst>
            <a:ext uri="{FF2B5EF4-FFF2-40B4-BE49-F238E27FC236}">
              <a16:creationId xmlns:a16="http://schemas.microsoft.com/office/drawing/2014/main" id="{00000000-0008-0000-0400-00006A000000}"/>
            </a:ext>
          </a:extLst>
        </xdr:cNvPr>
        <xdr:cNvCxnSpPr/>
      </xdr:nvCxnSpPr>
      <xdr:spPr>
        <a:xfrm rot="5400000">
          <a:off x="6076954" y="6743699"/>
          <a:ext cx="1857376" cy="142883"/>
        </a:xfrm>
        <a:prstGeom prst="bentConnector3">
          <a:avLst>
            <a:gd name="adj1" fmla="val 99743"/>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190501</xdr:colOff>
      <xdr:row>24</xdr:row>
      <xdr:rowOff>61911</xdr:rowOff>
    </xdr:from>
    <xdr:to>
      <xdr:col>10</xdr:col>
      <xdr:colOff>38100</xdr:colOff>
      <xdr:row>26</xdr:row>
      <xdr:rowOff>171449</xdr:rowOff>
    </xdr:to>
    <xdr:cxnSp macro="">
      <xdr:nvCxnSpPr>
        <xdr:cNvPr id="117" name="Elbow Connector 116">
          <a:extLst>
            <a:ext uri="{FF2B5EF4-FFF2-40B4-BE49-F238E27FC236}">
              <a16:creationId xmlns:a16="http://schemas.microsoft.com/office/drawing/2014/main" id="{00000000-0008-0000-0400-000075000000}"/>
            </a:ext>
          </a:extLst>
        </xdr:cNvPr>
        <xdr:cNvCxnSpPr>
          <a:stCxn id="3" idx="1"/>
        </xdr:cNvCxnSpPr>
      </xdr:nvCxnSpPr>
      <xdr:spPr>
        <a:xfrm rot="10800000" flipV="1">
          <a:off x="7077076" y="5414961"/>
          <a:ext cx="457199" cy="500063"/>
        </a:xfrm>
        <a:prstGeom prst="bentConnector2">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200025</xdr:colOff>
      <xdr:row>31</xdr:row>
      <xdr:rowOff>66675</xdr:rowOff>
    </xdr:from>
    <xdr:to>
      <xdr:col>14</xdr:col>
      <xdr:colOff>57150</xdr:colOff>
      <xdr:row>36</xdr:row>
      <xdr:rowOff>57150</xdr:rowOff>
    </xdr:to>
    <xdr:sp macro="" textlink="">
      <xdr:nvSpPr>
        <xdr:cNvPr id="134" name="TextBox 133">
          <a:extLst>
            <a:ext uri="{FF2B5EF4-FFF2-40B4-BE49-F238E27FC236}">
              <a16:creationId xmlns:a16="http://schemas.microsoft.com/office/drawing/2014/main" id="{00000000-0008-0000-0400-000086000000}"/>
            </a:ext>
          </a:extLst>
        </xdr:cNvPr>
        <xdr:cNvSpPr txBox="1"/>
      </xdr:nvSpPr>
      <xdr:spPr>
        <a:xfrm>
          <a:off x="7696200" y="6762750"/>
          <a:ext cx="295275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Values</a:t>
          </a:r>
          <a:r>
            <a:rPr lang="en-US" sz="1100" baseline="0"/>
            <a:t> in red indicate that the </a:t>
          </a:r>
          <a:r>
            <a:rPr lang="en-US" sz="1100" b="1" baseline="0"/>
            <a:t>Annual Phosphorus Credits</a:t>
          </a:r>
          <a:r>
            <a:rPr lang="en-US" sz="1100" baseline="0"/>
            <a:t> may not be enough to reach the </a:t>
          </a:r>
          <a:r>
            <a:rPr lang="en-US" sz="1100" b="1" baseline="0"/>
            <a:t>Target Reduction Levels</a:t>
          </a:r>
          <a:r>
            <a:rPr lang="en-US" sz="1100" baseline="0"/>
            <a:t>, and the facility should accure and use more credits to reach compliance in December</a:t>
          </a:r>
          <a:endParaRPr lang="en-US" sz="1100"/>
        </a:p>
      </xdr:txBody>
    </xdr:sp>
    <xdr:clientData/>
  </xdr:twoCellAnchor>
  <xdr:twoCellAnchor>
    <xdr:from>
      <xdr:col>9</xdr:col>
      <xdr:colOff>0</xdr:colOff>
      <xdr:row>31</xdr:row>
      <xdr:rowOff>133350</xdr:rowOff>
    </xdr:from>
    <xdr:to>
      <xdr:col>10</xdr:col>
      <xdr:colOff>200025</xdr:colOff>
      <xdr:row>31</xdr:row>
      <xdr:rowOff>133350</xdr:rowOff>
    </xdr:to>
    <xdr:cxnSp macro="">
      <xdr:nvCxnSpPr>
        <xdr:cNvPr id="136" name="Straight Arrow Connector 135">
          <a:extLst>
            <a:ext uri="{FF2B5EF4-FFF2-40B4-BE49-F238E27FC236}">
              <a16:creationId xmlns:a16="http://schemas.microsoft.com/office/drawing/2014/main" id="{00000000-0008-0000-0400-000088000000}"/>
            </a:ext>
          </a:extLst>
        </xdr:cNvPr>
        <xdr:cNvCxnSpPr/>
      </xdr:nvCxnSpPr>
      <xdr:spPr>
        <a:xfrm flipH="1">
          <a:off x="6886575" y="6829425"/>
          <a:ext cx="809625"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533403</xdr:colOff>
      <xdr:row>5</xdr:row>
      <xdr:rowOff>104774</xdr:rowOff>
    </xdr:from>
    <xdr:to>
      <xdr:col>9</xdr:col>
      <xdr:colOff>295276</xdr:colOff>
      <xdr:row>11</xdr:row>
      <xdr:rowOff>133349</xdr:rowOff>
    </xdr:to>
    <xdr:cxnSp macro="">
      <xdr:nvCxnSpPr>
        <xdr:cNvPr id="4" name="Elbow Connector 3">
          <a:extLst>
            <a:ext uri="{FF2B5EF4-FFF2-40B4-BE49-F238E27FC236}">
              <a16:creationId xmlns:a16="http://schemas.microsoft.com/office/drawing/2014/main" id="{00000000-0008-0000-0500-000004000000}"/>
            </a:ext>
          </a:extLst>
        </xdr:cNvPr>
        <xdr:cNvCxnSpPr/>
      </xdr:nvCxnSpPr>
      <xdr:spPr>
        <a:xfrm rot="10800000" flipV="1">
          <a:off x="5486403" y="1800224"/>
          <a:ext cx="1638298" cy="1152525"/>
        </a:xfrm>
        <a:prstGeom prst="bentConnector3">
          <a:avLst>
            <a:gd name="adj1" fmla="val 99718"/>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12</xdr:row>
      <xdr:rowOff>104775</xdr:rowOff>
    </xdr:from>
    <xdr:to>
      <xdr:col>9</xdr:col>
      <xdr:colOff>342900</xdr:colOff>
      <xdr:row>14</xdr:row>
      <xdr:rowOff>28575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6867525" y="3111500"/>
          <a:ext cx="304800" cy="29845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24</xdr:row>
      <xdr:rowOff>61912</xdr:rowOff>
    </xdr:from>
    <xdr:to>
      <xdr:col>10</xdr:col>
      <xdr:colOff>38099</xdr:colOff>
      <xdr:row>24</xdr:row>
      <xdr:rowOff>66675</xdr:rowOff>
    </xdr:to>
    <xdr:cxnSp macro="">
      <xdr:nvCxnSpPr>
        <xdr:cNvPr id="6" name="Straight Arrow Connector 5">
          <a:extLst>
            <a:ext uri="{FF2B5EF4-FFF2-40B4-BE49-F238E27FC236}">
              <a16:creationId xmlns:a16="http://schemas.microsoft.com/office/drawing/2014/main" id="{00000000-0008-0000-0500-000006000000}"/>
            </a:ext>
          </a:extLst>
        </xdr:cNvPr>
        <xdr:cNvCxnSpPr/>
      </xdr:nvCxnSpPr>
      <xdr:spPr>
        <a:xfrm flipH="1">
          <a:off x="6848475" y="5326062"/>
          <a:ext cx="628649" cy="476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26</xdr:row>
      <xdr:rowOff>142878</xdr:rowOff>
    </xdr:from>
    <xdr:to>
      <xdr:col>9</xdr:col>
      <xdr:colOff>190508</xdr:colOff>
      <xdr:row>36</xdr:row>
      <xdr:rowOff>85729</xdr:rowOff>
    </xdr:to>
    <xdr:cxnSp macro="">
      <xdr:nvCxnSpPr>
        <xdr:cNvPr id="7" name="Elbow Connector 6">
          <a:extLst>
            <a:ext uri="{FF2B5EF4-FFF2-40B4-BE49-F238E27FC236}">
              <a16:creationId xmlns:a16="http://schemas.microsoft.com/office/drawing/2014/main" id="{00000000-0008-0000-0500-000007000000}"/>
            </a:ext>
          </a:extLst>
        </xdr:cNvPr>
        <xdr:cNvCxnSpPr/>
      </xdr:nvCxnSpPr>
      <xdr:spPr>
        <a:xfrm rot="5400000">
          <a:off x="6035679" y="6632574"/>
          <a:ext cx="1825626" cy="142883"/>
        </a:xfrm>
        <a:prstGeom prst="bentConnector3">
          <a:avLst>
            <a:gd name="adj1" fmla="val 99743"/>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190501</xdr:colOff>
      <xdr:row>24</xdr:row>
      <xdr:rowOff>61911</xdr:rowOff>
    </xdr:from>
    <xdr:to>
      <xdr:col>10</xdr:col>
      <xdr:colOff>38100</xdr:colOff>
      <xdr:row>26</xdr:row>
      <xdr:rowOff>171449</xdr:rowOff>
    </xdr:to>
    <xdr:cxnSp macro="">
      <xdr:nvCxnSpPr>
        <xdr:cNvPr id="8" name="Elbow Connector 7">
          <a:extLst>
            <a:ext uri="{FF2B5EF4-FFF2-40B4-BE49-F238E27FC236}">
              <a16:creationId xmlns:a16="http://schemas.microsoft.com/office/drawing/2014/main" id="{00000000-0008-0000-0500-000008000000}"/>
            </a:ext>
          </a:extLst>
        </xdr:cNvPr>
        <xdr:cNvCxnSpPr/>
      </xdr:nvCxnSpPr>
      <xdr:spPr>
        <a:xfrm rot="10800000" flipV="1">
          <a:off x="7019926" y="5326061"/>
          <a:ext cx="457199" cy="493713"/>
        </a:xfrm>
        <a:prstGeom prst="bentConnector2">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31</xdr:row>
      <xdr:rowOff>133350</xdr:rowOff>
    </xdr:from>
    <xdr:to>
      <xdr:col>10</xdr:col>
      <xdr:colOff>200025</xdr:colOff>
      <xdr:row>31</xdr:row>
      <xdr:rowOff>133350</xdr:rowOff>
    </xdr:to>
    <xdr:cxnSp macro="">
      <xdr:nvCxnSpPr>
        <xdr:cNvPr id="10" name="Straight Arrow Connector 9">
          <a:extLst>
            <a:ext uri="{FF2B5EF4-FFF2-40B4-BE49-F238E27FC236}">
              <a16:creationId xmlns:a16="http://schemas.microsoft.com/office/drawing/2014/main" id="{00000000-0008-0000-0500-00000A000000}"/>
            </a:ext>
          </a:extLst>
        </xdr:cNvPr>
        <xdr:cNvCxnSpPr/>
      </xdr:nvCxnSpPr>
      <xdr:spPr>
        <a:xfrm flipH="1">
          <a:off x="6829425" y="6718300"/>
          <a:ext cx="809625" cy="0"/>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5"/>
  <sheetViews>
    <sheetView tabSelected="1" zoomScaleNormal="100" workbookViewId="0">
      <selection activeCell="C25" sqref="C25"/>
    </sheetView>
  </sheetViews>
  <sheetFormatPr defaultRowHeight="15" x14ac:dyDescent="0.25"/>
  <cols>
    <col min="1" max="1" width="19.28515625" customWidth="1"/>
    <col min="2" max="2" width="13.7109375" bestFit="1" customWidth="1"/>
    <col min="3" max="3" width="22" bestFit="1" customWidth="1"/>
    <col min="4" max="4" width="12.28515625" customWidth="1"/>
  </cols>
  <sheetData>
    <row r="1" spans="1:3" ht="45" x14ac:dyDescent="0.25">
      <c r="A1" s="5"/>
      <c r="B1" s="71" t="s">
        <v>25</v>
      </c>
      <c r="C1" s="71" t="s">
        <v>27</v>
      </c>
    </row>
    <row r="2" spans="1:3" x14ac:dyDescent="0.25">
      <c r="A2" s="4">
        <v>43466</v>
      </c>
      <c r="B2" s="13">
        <v>0.6</v>
      </c>
      <c r="C2" s="5"/>
    </row>
    <row r="3" spans="1:3" x14ac:dyDescent="0.25">
      <c r="A3" s="4">
        <v>43497</v>
      </c>
      <c r="B3" s="13">
        <v>0.5</v>
      </c>
      <c r="C3" s="5"/>
    </row>
    <row r="4" spans="1:3" x14ac:dyDescent="0.25">
      <c r="A4" s="4">
        <v>43525</v>
      </c>
      <c r="B4" s="13">
        <v>0.7</v>
      </c>
      <c r="C4" s="5"/>
    </row>
    <row r="5" spans="1:3" x14ac:dyDescent="0.25">
      <c r="A5" s="4">
        <v>43556</v>
      </c>
      <c r="B5" s="13">
        <v>0.9</v>
      </c>
      <c r="C5" s="5"/>
    </row>
    <row r="6" spans="1:3" x14ac:dyDescent="0.25">
      <c r="A6" s="4">
        <v>43586</v>
      </c>
      <c r="B6" s="13">
        <v>1.1000000000000001</v>
      </c>
      <c r="C6" s="5"/>
    </row>
    <row r="7" spans="1:3" x14ac:dyDescent="0.25">
      <c r="A7" s="4">
        <v>43617</v>
      </c>
      <c r="B7" s="13">
        <v>1.3</v>
      </c>
      <c r="C7" s="5"/>
    </row>
    <row r="8" spans="1:3" x14ac:dyDescent="0.25">
      <c r="A8" s="4">
        <v>43647</v>
      </c>
      <c r="B8" s="13">
        <v>0.8</v>
      </c>
      <c r="C8" s="5"/>
    </row>
    <row r="9" spans="1:3" x14ac:dyDescent="0.25">
      <c r="A9" s="4">
        <v>43678</v>
      </c>
      <c r="B9" s="13">
        <v>0.9</v>
      </c>
      <c r="C9" s="5"/>
    </row>
    <row r="10" spans="1:3" x14ac:dyDescent="0.25">
      <c r="A10" s="4">
        <v>43709</v>
      </c>
      <c r="B10" s="13">
        <v>1.1000000000000001</v>
      </c>
      <c r="C10" s="5"/>
    </row>
    <row r="11" spans="1:3" x14ac:dyDescent="0.25">
      <c r="A11" s="4">
        <v>43739</v>
      </c>
      <c r="B11" s="13">
        <v>1.4</v>
      </c>
      <c r="C11" s="5"/>
    </row>
    <row r="12" spans="1:3" ht="15.75" thickBot="1" x14ac:dyDescent="0.3">
      <c r="A12" s="4">
        <v>43770</v>
      </c>
      <c r="B12" s="13">
        <v>0.2</v>
      </c>
      <c r="C12" s="11"/>
    </row>
    <row r="13" spans="1:3" ht="15.75" thickBot="1" x14ac:dyDescent="0.3">
      <c r="A13" s="4">
        <v>43800</v>
      </c>
      <c r="B13" s="15">
        <v>0.3</v>
      </c>
      <c r="C13" s="20">
        <f>AVERAGE(B2:B13)</f>
        <v>0.81666666666666676</v>
      </c>
    </row>
    <row r="14" spans="1:3" x14ac:dyDescent="0.25">
      <c r="A14" s="4">
        <v>43831</v>
      </c>
      <c r="B14" s="13">
        <v>1.3</v>
      </c>
      <c r="C14" s="12">
        <f t="shared" ref="C14:C37" si="0">AVERAGE(B3:B14)</f>
        <v>0.87500000000000011</v>
      </c>
    </row>
    <row r="15" spans="1:3" x14ac:dyDescent="0.25">
      <c r="A15" s="4">
        <v>43862</v>
      </c>
      <c r="B15" s="13">
        <v>0.6</v>
      </c>
      <c r="C15" s="13">
        <f t="shared" si="0"/>
        <v>0.88333333333333341</v>
      </c>
    </row>
    <row r="16" spans="1:3" x14ac:dyDescent="0.25">
      <c r="A16" s="4">
        <v>43891</v>
      </c>
      <c r="B16" s="13">
        <v>0.7</v>
      </c>
      <c r="C16" s="13">
        <f t="shared" si="0"/>
        <v>0.8833333333333333</v>
      </c>
    </row>
    <row r="17" spans="1:3" x14ac:dyDescent="0.25">
      <c r="A17" s="4">
        <v>43922</v>
      </c>
      <c r="B17" s="13">
        <v>1</v>
      </c>
      <c r="C17" s="13">
        <f t="shared" si="0"/>
        <v>0.89166666666666672</v>
      </c>
    </row>
    <row r="18" spans="1:3" x14ac:dyDescent="0.25">
      <c r="A18" s="4">
        <v>43952</v>
      </c>
      <c r="B18" s="28">
        <v>1.8</v>
      </c>
      <c r="C18" s="13">
        <f t="shared" si="0"/>
        <v>0.95000000000000007</v>
      </c>
    </row>
    <row r="19" spans="1:3" x14ac:dyDescent="0.25">
      <c r="A19" s="4">
        <v>43983</v>
      </c>
      <c r="B19" s="13">
        <v>1.3</v>
      </c>
      <c r="C19" s="13">
        <f t="shared" si="0"/>
        <v>0.95000000000000018</v>
      </c>
    </row>
    <row r="20" spans="1:3" x14ac:dyDescent="0.25">
      <c r="A20" s="4">
        <v>44013</v>
      </c>
      <c r="B20" s="13">
        <v>1.1000000000000001</v>
      </c>
      <c r="C20" s="13">
        <f t="shared" si="0"/>
        <v>0.97500000000000009</v>
      </c>
    </row>
    <row r="21" spans="1:3" x14ac:dyDescent="0.25">
      <c r="A21" s="4">
        <v>44044</v>
      </c>
      <c r="B21" s="13">
        <v>0.8</v>
      </c>
      <c r="C21" s="13">
        <f t="shared" si="0"/>
        <v>0.96666666666666679</v>
      </c>
    </row>
    <row r="22" spans="1:3" x14ac:dyDescent="0.25">
      <c r="A22" s="4">
        <v>44075</v>
      </c>
      <c r="B22" s="13">
        <v>0.7</v>
      </c>
      <c r="C22" s="13">
        <f t="shared" si="0"/>
        <v>0.93333333333333324</v>
      </c>
    </row>
    <row r="23" spans="1:3" x14ac:dyDescent="0.25">
      <c r="A23" s="4">
        <v>44105</v>
      </c>
      <c r="B23" s="13">
        <v>0.9</v>
      </c>
      <c r="C23" s="13">
        <f t="shared" si="0"/>
        <v>0.89166666666666661</v>
      </c>
    </row>
    <row r="24" spans="1:3" ht="15.75" thickBot="1" x14ac:dyDescent="0.3">
      <c r="A24" s="4">
        <v>44136</v>
      </c>
      <c r="B24" s="13">
        <v>1</v>
      </c>
      <c r="C24" s="14">
        <f t="shared" si="0"/>
        <v>0.95833333333333337</v>
      </c>
    </row>
    <row r="25" spans="1:3" ht="15.75" thickBot="1" x14ac:dyDescent="0.3">
      <c r="A25" s="16">
        <v>44166</v>
      </c>
      <c r="B25" s="23">
        <v>0.7</v>
      </c>
      <c r="C25" s="20">
        <f t="shared" si="0"/>
        <v>0.99166666666666659</v>
      </c>
    </row>
    <row r="26" spans="1:3" x14ac:dyDescent="0.25">
      <c r="A26" s="4">
        <v>44197</v>
      </c>
      <c r="B26" s="18">
        <v>0.4</v>
      </c>
      <c r="C26" s="48">
        <f t="shared" si="0"/>
        <v>0.91666666666666663</v>
      </c>
    </row>
    <row r="27" spans="1:3" x14ac:dyDescent="0.25">
      <c r="A27" s="4">
        <v>44228</v>
      </c>
      <c r="B27" s="18">
        <v>0.5</v>
      </c>
      <c r="C27" s="13">
        <f t="shared" si="0"/>
        <v>0.90833333333333333</v>
      </c>
    </row>
    <row r="28" spans="1:3" x14ac:dyDescent="0.25">
      <c r="A28" s="4">
        <v>44256</v>
      </c>
      <c r="B28" s="18">
        <v>0.8</v>
      </c>
      <c r="C28" s="13">
        <f t="shared" si="0"/>
        <v>0.91666666666666663</v>
      </c>
    </row>
    <row r="29" spans="1:3" x14ac:dyDescent="0.25">
      <c r="A29" s="4">
        <v>44287</v>
      </c>
      <c r="B29" s="18">
        <v>1</v>
      </c>
      <c r="C29" s="13">
        <f t="shared" si="0"/>
        <v>0.91666666666666685</v>
      </c>
    </row>
    <row r="30" spans="1:3" x14ac:dyDescent="0.25">
      <c r="A30" s="4">
        <v>44317</v>
      </c>
      <c r="B30" s="18">
        <v>0.9</v>
      </c>
      <c r="C30" s="18">
        <f t="shared" si="0"/>
        <v>0.84166666666666679</v>
      </c>
    </row>
    <row r="31" spans="1:3" x14ac:dyDescent="0.25">
      <c r="A31" s="4">
        <v>44348</v>
      </c>
      <c r="B31" s="19">
        <v>1.9</v>
      </c>
      <c r="C31" s="18">
        <f t="shared" si="0"/>
        <v>0.89166666666666672</v>
      </c>
    </row>
    <row r="32" spans="1:3" x14ac:dyDescent="0.25">
      <c r="A32" s="4">
        <v>44378</v>
      </c>
      <c r="B32" s="18">
        <v>1.4</v>
      </c>
      <c r="C32" s="18">
        <f t="shared" si="0"/>
        <v>0.91666666666666663</v>
      </c>
    </row>
    <row r="33" spans="1:4" x14ac:dyDescent="0.25">
      <c r="A33" s="4">
        <v>44409</v>
      </c>
      <c r="B33" s="18">
        <v>1.1000000000000001</v>
      </c>
      <c r="C33" s="18">
        <f t="shared" si="0"/>
        <v>0.94166666666666654</v>
      </c>
    </row>
    <row r="34" spans="1:4" x14ac:dyDescent="0.25">
      <c r="A34" s="4">
        <v>44440</v>
      </c>
      <c r="B34" s="18">
        <v>0.9</v>
      </c>
      <c r="C34" s="18">
        <f t="shared" si="0"/>
        <v>0.95833333333333337</v>
      </c>
    </row>
    <row r="35" spans="1:4" x14ac:dyDescent="0.25">
      <c r="A35" s="4">
        <v>44470</v>
      </c>
      <c r="B35" s="18">
        <v>0.6</v>
      </c>
      <c r="C35" s="18">
        <f t="shared" si="0"/>
        <v>0.93333333333333346</v>
      </c>
    </row>
    <row r="36" spans="1:4" ht="15.75" thickBot="1" x14ac:dyDescent="0.3">
      <c r="A36" s="4">
        <v>44501</v>
      </c>
      <c r="B36" s="18">
        <v>0.5</v>
      </c>
      <c r="C36" s="21">
        <f t="shared" si="0"/>
        <v>0.89166666666666672</v>
      </c>
    </row>
    <row r="37" spans="1:4" ht="15.75" thickBot="1" x14ac:dyDescent="0.3">
      <c r="A37" s="6">
        <v>44531</v>
      </c>
      <c r="B37" s="57">
        <v>0.3</v>
      </c>
      <c r="C37" s="27">
        <f t="shared" si="0"/>
        <v>0.85833333333333339</v>
      </c>
    </row>
    <row r="39" spans="1:4" x14ac:dyDescent="0.25">
      <c r="A39" s="1" t="s">
        <v>12</v>
      </c>
      <c r="B39" s="1"/>
      <c r="C39" s="1"/>
      <c r="D39" s="1"/>
    </row>
    <row r="42" spans="1:4" x14ac:dyDescent="0.25">
      <c r="A42" t="s">
        <v>5</v>
      </c>
    </row>
    <row r="43" spans="1:4" x14ac:dyDescent="0.25">
      <c r="A43" t="s">
        <v>1</v>
      </c>
    </row>
    <row r="44" spans="1:4" x14ac:dyDescent="0.25">
      <c r="A44" t="s">
        <v>3</v>
      </c>
    </row>
    <row r="45" spans="1:4" x14ac:dyDescent="0.25">
      <c r="A45" t="s">
        <v>2</v>
      </c>
    </row>
  </sheetData>
  <conditionalFormatting sqref="B2:B1048576">
    <cfRule type="cellIs" dxfId="13" priority="1" operator="greaterThan">
      <formula>1</formula>
    </cfRule>
  </conditionalFormatting>
  <pageMargins left="0.25" right="0.25" top="0.75" bottom="0.75" header="0.3" footer="0.3"/>
  <pageSetup orientation="portrait" horizontalDpi="1200" verticalDpi="1200" r:id="rId1"/>
  <headerFooter>
    <oddHeader>&amp;L&amp;20Rolling Annual Average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22"/>
  <sheetViews>
    <sheetView workbookViewId="0">
      <selection activeCell="B21" sqref="B21"/>
    </sheetView>
  </sheetViews>
  <sheetFormatPr defaultRowHeight="15" x14ac:dyDescent="0.25"/>
  <cols>
    <col min="1" max="1" width="35.5703125" customWidth="1"/>
  </cols>
  <sheetData>
    <row r="2" spans="1:2" x14ac:dyDescent="0.25">
      <c r="A2" t="s">
        <v>14</v>
      </c>
      <c r="B2">
        <v>105</v>
      </c>
    </row>
    <row r="3" spans="1:2" x14ac:dyDescent="0.25">
      <c r="A3" t="s">
        <v>15</v>
      </c>
      <c r="B3">
        <v>73</v>
      </c>
    </row>
    <row r="4" spans="1:2" x14ac:dyDescent="0.25">
      <c r="A4" t="s">
        <v>13</v>
      </c>
      <c r="B4" s="63">
        <v>1</v>
      </c>
    </row>
    <row r="5" spans="1:2" x14ac:dyDescent="0.25">
      <c r="A5" s="1" t="s">
        <v>18</v>
      </c>
      <c r="B5" s="65">
        <f>B2*B4*8.34*365</f>
        <v>319630.5</v>
      </c>
    </row>
    <row r="17" spans="1:5" x14ac:dyDescent="0.25">
      <c r="A17" s="83" t="s">
        <v>17</v>
      </c>
      <c r="B17" s="83"/>
      <c r="C17" s="83"/>
      <c r="D17" s="83"/>
      <c r="E17" s="83"/>
    </row>
    <row r="18" spans="1:5" x14ac:dyDescent="0.25">
      <c r="A18" s="83"/>
      <c r="B18" s="83"/>
      <c r="C18" s="83"/>
      <c r="D18" s="83"/>
      <c r="E18" s="83"/>
    </row>
    <row r="19" spans="1:5" x14ac:dyDescent="0.25">
      <c r="A19" s="64" t="s">
        <v>16</v>
      </c>
      <c r="B19" s="64"/>
      <c r="C19" s="64"/>
      <c r="D19" s="64"/>
      <c r="E19" s="64"/>
    </row>
    <row r="21" spans="1:5" x14ac:dyDescent="0.25">
      <c r="A21" t="s">
        <v>5</v>
      </c>
    </row>
    <row r="22" spans="1:5" x14ac:dyDescent="0.25">
      <c r="A22" t="s">
        <v>19</v>
      </c>
    </row>
  </sheetData>
  <mergeCells count="1">
    <mergeCell ref="A17:E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topLeftCell="A27" zoomScaleNormal="100" workbookViewId="0">
      <selection activeCell="F42" sqref="F42"/>
    </sheetView>
  </sheetViews>
  <sheetFormatPr defaultRowHeight="15" x14ac:dyDescent="0.25"/>
  <cols>
    <col min="2" max="3" width="18.85546875" customWidth="1"/>
    <col min="4" max="4" width="8.85546875" customWidth="1"/>
    <col min="5" max="5" width="14.7109375" customWidth="1"/>
    <col min="6" max="6" width="16.42578125" customWidth="1"/>
    <col min="7" max="7" width="14.140625" customWidth="1"/>
  </cols>
  <sheetData>
    <row r="1" spans="1:7" ht="60.75" thickBot="1" x14ac:dyDescent="0.3">
      <c r="A1" s="8"/>
      <c r="B1" s="72" t="s">
        <v>26</v>
      </c>
      <c r="C1" s="72" t="s">
        <v>27</v>
      </c>
      <c r="D1" s="72" t="s">
        <v>24</v>
      </c>
      <c r="E1" s="72" t="s">
        <v>32</v>
      </c>
      <c r="F1" s="72" t="s">
        <v>0</v>
      </c>
      <c r="G1" s="84" t="s">
        <v>30</v>
      </c>
    </row>
    <row r="2" spans="1:7" x14ac:dyDescent="0.25">
      <c r="A2" s="6">
        <v>43466</v>
      </c>
      <c r="B2" s="12">
        <v>22</v>
      </c>
      <c r="C2" s="12"/>
      <c r="D2" s="12">
        <v>10.199999999999999</v>
      </c>
      <c r="E2" s="12">
        <v>316.2</v>
      </c>
      <c r="F2" s="12">
        <f>B2*E2*8.34</f>
        <v>58016.375999999997</v>
      </c>
      <c r="G2" s="45"/>
    </row>
    <row r="3" spans="1:7" x14ac:dyDescent="0.25">
      <c r="A3" s="4">
        <v>43497</v>
      </c>
      <c r="B3" s="13">
        <v>21.5</v>
      </c>
      <c r="C3" s="12"/>
      <c r="D3" s="12">
        <v>10.5</v>
      </c>
      <c r="E3" s="12">
        <v>294</v>
      </c>
      <c r="F3" s="12">
        <f>B3*E3*8.34</f>
        <v>52717.14</v>
      </c>
      <c r="G3" s="46"/>
    </row>
    <row r="4" spans="1:7" x14ac:dyDescent="0.25">
      <c r="A4" s="4">
        <v>43525</v>
      </c>
      <c r="B4" s="13">
        <v>19.7</v>
      </c>
      <c r="C4" s="12"/>
      <c r="D4" s="12">
        <v>10.3</v>
      </c>
      <c r="E4" s="12">
        <v>319.3</v>
      </c>
      <c r="F4" s="12">
        <f>B4*E4*8.34</f>
        <v>52460.3514</v>
      </c>
      <c r="G4" s="46"/>
    </row>
    <row r="5" spans="1:7" x14ac:dyDescent="0.25">
      <c r="A5" s="4">
        <v>43556</v>
      </c>
      <c r="B5" s="13">
        <v>17.5</v>
      </c>
      <c r="C5" s="12"/>
      <c r="D5" s="12">
        <v>10.7</v>
      </c>
      <c r="E5" s="12">
        <v>321</v>
      </c>
      <c r="F5" s="12">
        <f>B5*E5*8.34</f>
        <v>46849.95</v>
      </c>
      <c r="G5" s="46"/>
    </row>
    <row r="6" spans="1:7" x14ac:dyDescent="0.25">
      <c r="A6" s="4">
        <v>43586</v>
      </c>
      <c r="B6" s="13">
        <v>22.1</v>
      </c>
      <c r="C6" s="12"/>
      <c r="D6" s="12">
        <v>11.1</v>
      </c>
      <c r="E6" s="12">
        <v>344.09999999999997</v>
      </c>
      <c r="F6" s="12">
        <f>B6*E6*8.34</f>
        <v>63422.447399999997</v>
      </c>
      <c r="G6" s="46"/>
    </row>
    <row r="7" spans="1:7" x14ac:dyDescent="0.25">
      <c r="A7" s="4">
        <v>43617</v>
      </c>
      <c r="B7" s="13">
        <v>18.5</v>
      </c>
      <c r="C7" s="12"/>
      <c r="D7" s="12">
        <v>13.4</v>
      </c>
      <c r="E7" s="12">
        <v>402</v>
      </c>
      <c r="F7" s="12">
        <f>B7*E7*8.34</f>
        <v>62024.58</v>
      </c>
      <c r="G7" s="46"/>
    </row>
    <row r="8" spans="1:7" x14ac:dyDescent="0.25">
      <c r="A8" s="4">
        <v>43647</v>
      </c>
      <c r="B8" s="13">
        <v>17</v>
      </c>
      <c r="C8" s="12"/>
      <c r="D8" s="12">
        <v>14.5</v>
      </c>
      <c r="E8" s="12">
        <v>449.5</v>
      </c>
      <c r="F8" s="12">
        <f>B8*E8*8.34</f>
        <v>63730.11</v>
      </c>
      <c r="G8" s="46"/>
    </row>
    <row r="9" spans="1:7" x14ac:dyDescent="0.25">
      <c r="A9" s="4">
        <v>43678</v>
      </c>
      <c r="B9" s="13">
        <v>20.2</v>
      </c>
      <c r="C9" s="12"/>
      <c r="D9" s="12">
        <v>14.3</v>
      </c>
      <c r="E9" s="12">
        <v>443.3</v>
      </c>
      <c r="F9" s="12">
        <f>B9*E9*8.34</f>
        <v>74681.864399999991</v>
      </c>
      <c r="G9" s="46"/>
    </row>
    <row r="10" spans="1:7" x14ac:dyDescent="0.25">
      <c r="A10" s="4">
        <v>43709</v>
      </c>
      <c r="B10" s="13">
        <v>17.5</v>
      </c>
      <c r="C10" s="12"/>
      <c r="D10" s="12">
        <v>12.1</v>
      </c>
      <c r="E10" s="12">
        <v>363</v>
      </c>
      <c r="F10" s="12">
        <f>B10*E10*8.34</f>
        <v>52979.85</v>
      </c>
      <c r="G10" s="46"/>
    </row>
    <row r="11" spans="1:7" x14ac:dyDescent="0.25">
      <c r="A11" s="4">
        <v>43739</v>
      </c>
      <c r="B11" s="13">
        <v>14.3</v>
      </c>
      <c r="C11" s="12"/>
      <c r="D11" s="12">
        <v>11.8</v>
      </c>
      <c r="E11" s="12">
        <v>365.8</v>
      </c>
      <c r="F11" s="12">
        <f>B11*E11*8.34</f>
        <v>43626.039600000004</v>
      </c>
      <c r="G11" s="46"/>
    </row>
    <row r="12" spans="1:7" x14ac:dyDescent="0.25">
      <c r="A12" s="4">
        <v>43770</v>
      </c>
      <c r="B12" s="13">
        <v>13.2</v>
      </c>
      <c r="C12" s="12"/>
      <c r="D12" s="12">
        <v>10.8</v>
      </c>
      <c r="E12" s="12">
        <v>324</v>
      </c>
      <c r="F12" s="12">
        <f>B12*E12*8.34</f>
        <v>35668.512000000002</v>
      </c>
      <c r="G12" s="46"/>
    </row>
    <row r="13" spans="1:7" x14ac:dyDescent="0.25">
      <c r="A13" s="4">
        <v>43800</v>
      </c>
      <c r="B13" s="13">
        <v>11.5</v>
      </c>
      <c r="C13" s="77">
        <f>AVERAGE(B2:B13)</f>
        <v>17.916666666666668</v>
      </c>
      <c r="D13" s="12">
        <v>11.5</v>
      </c>
      <c r="E13" s="12">
        <v>356.5</v>
      </c>
      <c r="F13" s="12">
        <f>B13*E13*8.34</f>
        <v>34191.915000000001</v>
      </c>
      <c r="G13" s="46">
        <f>SUM(F2:F13)</f>
        <v>640369.13580000005</v>
      </c>
    </row>
    <row r="14" spans="1:7" x14ac:dyDescent="0.25">
      <c r="A14" s="4">
        <v>43831</v>
      </c>
      <c r="B14" s="13">
        <v>21.3</v>
      </c>
      <c r="C14" s="77">
        <f t="shared" ref="C14:C37" si="0">AVERAGE(B3:B14)</f>
        <v>17.858333333333334</v>
      </c>
      <c r="D14" s="12">
        <v>9.8000000000000007</v>
      </c>
      <c r="E14" s="12">
        <v>303.8</v>
      </c>
      <c r="F14" s="12">
        <f>B14*E14*8.34</f>
        <v>53967.639600000002</v>
      </c>
      <c r="G14" s="46"/>
    </row>
    <row r="15" spans="1:7" x14ac:dyDescent="0.25">
      <c r="A15" s="4">
        <v>43862</v>
      </c>
      <c r="B15" s="13">
        <v>19.5</v>
      </c>
      <c r="C15" s="77">
        <f t="shared" si="0"/>
        <v>17.691666666666666</v>
      </c>
      <c r="D15" s="12">
        <v>10.199999999999999</v>
      </c>
      <c r="E15" s="12">
        <v>285.59999999999997</v>
      </c>
      <c r="F15" s="12">
        <f>B15*E15*8.34</f>
        <v>46447.12799999999</v>
      </c>
      <c r="G15" s="46"/>
    </row>
    <row r="16" spans="1:7" x14ac:dyDescent="0.25">
      <c r="A16" s="4">
        <v>43891</v>
      </c>
      <c r="B16" s="13">
        <v>17.8</v>
      </c>
      <c r="C16" s="77">
        <f t="shared" si="0"/>
        <v>17.533333333333335</v>
      </c>
      <c r="D16" s="12">
        <v>10.8</v>
      </c>
      <c r="E16" s="12">
        <v>334.8</v>
      </c>
      <c r="F16" s="12">
        <f>B16*E16*8.34</f>
        <v>49701.729600000006</v>
      </c>
      <c r="G16" s="46"/>
    </row>
    <row r="17" spans="1:7" x14ac:dyDescent="0.25">
      <c r="A17" s="4">
        <v>43922</v>
      </c>
      <c r="B17" s="13">
        <v>20.8</v>
      </c>
      <c r="C17" s="77">
        <f t="shared" si="0"/>
        <v>17.808333333333337</v>
      </c>
      <c r="D17" s="12">
        <v>11.2</v>
      </c>
      <c r="E17" s="12">
        <v>336</v>
      </c>
      <c r="F17" s="12">
        <f>B17*E17*8.34</f>
        <v>58286.591999999997</v>
      </c>
      <c r="G17" s="46"/>
    </row>
    <row r="18" spans="1:7" x14ac:dyDescent="0.25">
      <c r="A18" s="4">
        <v>43952</v>
      </c>
      <c r="B18" s="13">
        <v>16.399999999999999</v>
      </c>
      <c r="C18" s="77">
        <f t="shared" si="0"/>
        <v>17.333333333333336</v>
      </c>
      <c r="D18" s="12">
        <v>12.6</v>
      </c>
      <c r="E18" s="12">
        <v>390.59999999999997</v>
      </c>
      <c r="F18" s="12">
        <f>B18*E18*8.34</f>
        <v>53424.705599999994</v>
      </c>
      <c r="G18" s="46"/>
    </row>
    <row r="19" spans="1:7" x14ac:dyDescent="0.25">
      <c r="A19" s="4">
        <v>43983</v>
      </c>
      <c r="B19" s="13">
        <v>18.5</v>
      </c>
      <c r="C19" s="77">
        <f t="shared" si="0"/>
        <v>17.333333333333336</v>
      </c>
      <c r="D19" s="12">
        <v>13.1</v>
      </c>
      <c r="E19" s="12">
        <v>393</v>
      </c>
      <c r="F19" s="12">
        <f>B19*E19*8.34</f>
        <v>60635.97</v>
      </c>
      <c r="G19" s="46"/>
    </row>
    <row r="20" spans="1:7" x14ac:dyDescent="0.25">
      <c r="A20" s="4">
        <v>44013</v>
      </c>
      <c r="B20" s="13">
        <v>21.7</v>
      </c>
      <c r="C20" s="77">
        <f t="shared" si="0"/>
        <v>17.725000000000001</v>
      </c>
      <c r="D20" s="12">
        <v>10.9</v>
      </c>
      <c r="E20" s="12">
        <v>337.90000000000003</v>
      </c>
      <c r="F20" s="12">
        <f>B20*E20*8.34</f>
        <v>61152.466200000003</v>
      </c>
      <c r="G20" s="46"/>
    </row>
    <row r="21" spans="1:7" x14ac:dyDescent="0.25">
      <c r="A21" s="4">
        <v>44044</v>
      </c>
      <c r="B21" s="13">
        <v>17.5</v>
      </c>
      <c r="C21" s="77">
        <f t="shared" si="0"/>
        <v>17.5</v>
      </c>
      <c r="D21" s="12">
        <v>11.2</v>
      </c>
      <c r="E21" s="12">
        <v>347.2</v>
      </c>
      <c r="F21" s="12">
        <f>B21*E21*8.34</f>
        <v>50673.84</v>
      </c>
      <c r="G21" s="46"/>
    </row>
    <row r="22" spans="1:7" x14ac:dyDescent="0.25">
      <c r="A22" s="4">
        <v>44075</v>
      </c>
      <c r="B22" s="13">
        <v>16.5</v>
      </c>
      <c r="C22" s="77">
        <f t="shared" si="0"/>
        <v>17.416666666666664</v>
      </c>
      <c r="D22" s="12">
        <v>11.7</v>
      </c>
      <c r="E22" s="12">
        <v>351</v>
      </c>
      <c r="F22" s="12">
        <f>B22*E22*8.34</f>
        <v>48301.11</v>
      </c>
      <c r="G22" s="46"/>
    </row>
    <row r="23" spans="1:7" x14ac:dyDescent="0.25">
      <c r="A23" s="4">
        <v>44105</v>
      </c>
      <c r="B23" s="13">
        <v>15.8</v>
      </c>
      <c r="C23" s="77">
        <f t="shared" si="0"/>
        <v>17.541666666666668</v>
      </c>
      <c r="D23" s="12">
        <v>12.1</v>
      </c>
      <c r="E23" s="12">
        <v>375.09999999999997</v>
      </c>
      <c r="F23" s="12">
        <f>B23*E23*8.34</f>
        <v>49427.677199999998</v>
      </c>
      <c r="G23" s="46"/>
    </row>
    <row r="24" spans="1:7" x14ac:dyDescent="0.25">
      <c r="A24" s="4">
        <v>44136</v>
      </c>
      <c r="B24" s="13">
        <v>13.2</v>
      </c>
      <c r="C24" s="77">
        <f t="shared" si="0"/>
        <v>17.541666666666664</v>
      </c>
      <c r="D24" s="12">
        <v>9.6999999999999993</v>
      </c>
      <c r="E24" s="12">
        <v>291</v>
      </c>
      <c r="F24" s="12">
        <f>B24*E24*8.34</f>
        <v>32035.607999999997</v>
      </c>
      <c r="G24" s="46"/>
    </row>
    <row r="25" spans="1:7" x14ac:dyDescent="0.25">
      <c r="A25" s="4">
        <v>44166</v>
      </c>
      <c r="B25" s="13">
        <v>12.8</v>
      </c>
      <c r="C25" s="77">
        <f t="shared" si="0"/>
        <v>17.649999999999999</v>
      </c>
      <c r="D25" s="12">
        <v>10.5</v>
      </c>
      <c r="E25" s="12">
        <v>325.5</v>
      </c>
      <c r="F25" s="12">
        <f>B25*E25*8.34</f>
        <v>34747.776000000005</v>
      </c>
      <c r="G25" s="46">
        <f>SUM(F14:F25)</f>
        <v>598802.24219999998</v>
      </c>
    </row>
    <row r="26" spans="1:7" x14ac:dyDescent="0.25">
      <c r="A26" s="4">
        <v>44197</v>
      </c>
      <c r="B26" s="18">
        <v>13.1</v>
      </c>
      <c r="C26" s="77">
        <f t="shared" si="0"/>
        <v>16.966666666666665</v>
      </c>
      <c r="D26" s="12">
        <v>10.7</v>
      </c>
      <c r="E26" s="12">
        <v>331.7</v>
      </c>
      <c r="F26" s="12">
        <f>B26*E26*8.34</f>
        <v>36239.551799999994</v>
      </c>
      <c r="G26" s="46"/>
    </row>
    <row r="27" spans="1:7" x14ac:dyDescent="0.25">
      <c r="A27" s="4">
        <v>44228</v>
      </c>
      <c r="B27" s="18">
        <v>15.6</v>
      </c>
      <c r="C27" s="77">
        <f t="shared" si="0"/>
        <v>16.641666666666666</v>
      </c>
      <c r="D27" s="12">
        <v>10.9</v>
      </c>
      <c r="E27" s="12">
        <v>305.2</v>
      </c>
      <c r="F27" s="12">
        <f>B27*E27*8.34</f>
        <v>39707.7408</v>
      </c>
      <c r="G27" s="46"/>
    </row>
    <row r="28" spans="1:7" x14ac:dyDescent="0.25">
      <c r="A28" s="4">
        <v>44256</v>
      </c>
      <c r="B28" s="18">
        <v>19.8</v>
      </c>
      <c r="C28" s="77">
        <f t="shared" si="0"/>
        <v>16.808333333333334</v>
      </c>
      <c r="D28" s="12">
        <v>11.8</v>
      </c>
      <c r="E28" s="12">
        <v>365.8</v>
      </c>
      <c r="F28" s="12">
        <f>B28*E28*8.34</f>
        <v>60405.285600000003</v>
      </c>
      <c r="G28" s="46"/>
    </row>
    <row r="29" spans="1:7" x14ac:dyDescent="0.25">
      <c r="A29" s="4">
        <v>44287</v>
      </c>
      <c r="B29" s="18">
        <v>20.5</v>
      </c>
      <c r="C29" s="77">
        <f t="shared" si="0"/>
        <v>16.783333333333335</v>
      </c>
      <c r="D29" s="12">
        <v>12.3</v>
      </c>
      <c r="E29" s="12">
        <v>369</v>
      </c>
      <c r="F29" s="12">
        <f>B29*E29*8.34</f>
        <v>63087.93</v>
      </c>
      <c r="G29" s="46"/>
    </row>
    <row r="30" spans="1:7" x14ac:dyDescent="0.25">
      <c r="A30" s="4">
        <v>44317</v>
      </c>
      <c r="B30" s="18">
        <v>21.6</v>
      </c>
      <c r="C30" s="77">
        <f t="shared" si="0"/>
        <v>17.216666666666665</v>
      </c>
      <c r="D30" s="12">
        <v>13.4</v>
      </c>
      <c r="E30" s="12">
        <v>415.40000000000003</v>
      </c>
      <c r="F30" s="12">
        <f>B30*E30*8.34</f>
        <v>74831.817600000009</v>
      </c>
      <c r="G30" s="46"/>
    </row>
    <row r="31" spans="1:7" x14ac:dyDescent="0.25">
      <c r="A31" s="4">
        <v>44348</v>
      </c>
      <c r="B31" s="18">
        <v>19.2</v>
      </c>
      <c r="C31" s="77">
        <f t="shared" si="0"/>
        <v>17.274999999999999</v>
      </c>
      <c r="D31" s="12">
        <v>12.5</v>
      </c>
      <c r="E31" s="12">
        <v>375</v>
      </c>
      <c r="F31" s="12">
        <f>B31*E31*8.34</f>
        <v>60048</v>
      </c>
      <c r="G31" s="46"/>
    </row>
    <row r="32" spans="1:7" x14ac:dyDescent="0.25">
      <c r="A32" s="4">
        <v>44378</v>
      </c>
      <c r="B32" s="18">
        <v>20.5</v>
      </c>
      <c r="C32" s="77">
        <f t="shared" si="0"/>
        <v>17.174999999999997</v>
      </c>
      <c r="D32" s="12">
        <v>11.5</v>
      </c>
      <c r="E32" s="12">
        <v>356.5</v>
      </c>
      <c r="F32" s="12">
        <f>B32*E32*8.34</f>
        <v>60950.805</v>
      </c>
      <c r="G32" s="46"/>
    </row>
    <row r="33" spans="1:7" x14ac:dyDescent="0.25">
      <c r="A33" s="4">
        <v>44409</v>
      </c>
      <c r="B33" s="18">
        <v>17.600000000000001</v>
      </c>
      <c r="C33" s="77">
        <f t="shared" si="0"/>
        <v>17.18333333333333</v>
      </c>
      <c r="D33" s="12">
        <v>10.8</v>
      </c>
      <c r="E33" s="12">
        <v>334.8</v>
      </c>
      <c r="F33" s="12">
        <f>B33*E33*8.34</f>
        <v>49143.283200000005</v>
      </c>
      <c r="G33" s="46"/>
    </row>
    <row r="34" spans="1:7" x14ac:dyDescent="0.25">
      <c r="A34" s="4">
        <v>44440</v>
      </c>
      <c r="B34" s="18">
        <v>14.3</v>
      </c>
      <c r="C34" s="77">
        <f t="shared" si="0"/>
        <v>17</v>
      </c>
      <c r="D34" s="12">
        <v>10.3</v>
      </c>
      <c r="E34" s="12">
        <v>309</v>
      </c>
      <c r="F34" s="12">
        <f>B34*E34*8.34</f>
        <v>36851.957999999999</v>
      </c>
      <c r="G34" s="46"/>
    </row>
    <row r="35" spans="1:7" x14ac:dyDescent="0.25">
      <c r="A35" s="4">
        <v>44470</v>
      </c>
      <c r="B35" s="18">
        <v>15.4</v>
      </c>
      <c r="C35" s="77">
        <f t="shared" si="0"/>
        <v>16.966666666666665</v>
      </c>
      <c r="D35" s="12">
        <v>9.6999999999999993</v>
      </c>
      <c r="E35" s="12">
        <v>300.7</v>
      </c>
      <c r="F35" s="12">
        <f>B35*E35*8.34</f>
        <v>38620.705199999997</v>
      </c>
      <c r="G35" s="46"/>
    </row>
    <row r="36" spans="1:7" x14ac:dyDescent="0.25">
      <c r="A36" s="4">
        <v>44501</v>
      </c>
      <c r="B36" s="18">
        <v>13.5</v>
      </c>
      <c r="C36" s="77">
        <f t="shared" si="0"/>
        <v>16.991666666666671</v>
      </c>
      <c r="D36" s="12">
        <v>11.2</v>
      </c>
      <c r="E36" s="12">
        <v>336</v>
      </c>
      <c r="F36" s="12">
        <f>B36*E36*8.34</f>
        <v>37830.239999999998</v>
      </c>
      <c r="G36" s="46"/>
    </row>
    <row r="37" spans="1:7" x14ac:dyDescent="0.25">
      <c r="A37" s="4">
        <v>44531</v>
      </c>
      <c r="B37" s="18">
        <v>11.8</v>
      </c>
      <c r="C37" s="77">
        <f t="shared" si="0"/>
        <v>16.908333333333335</v>
      </c>
      <c r="D37" s="12">
        <v>10.199999999999999</v>
      </c>
      <c r="E37" s="12">
        <v>316.2</v>
      </c>
      <c r="F37" s="12">
        <f>B37*E37*8.34</f>
        <v>31117.874400000001</v>
      </c>
      <c r="G37" s="46">
        <f>SUM(F26:F37)</f>
        <v>588835.1915999999</v>
      </c>
    </row>
    <row r="38" spans="1:7" x14ac:dyDescent="0.25">
      <c r="A38" s="47"/>
      <c r="B38" s="47"/>
      <c r="C38" s="78"/>
      <c r="D38" s="47"/>
    </row>
    <row r="39" spans="1:7" x14ac:dyDescent="0.25">
      <c r="E39" s="98" t="s">
        <v>11</v>
      </c>
      <c r="F39" s="98"/>
      <c r="G39" s="40">
        <f>AVERAGE(G37,G25,G13)</f>
        <v>609335.52319999994</v>
      </c>
    </row>
    <row r="40" spans="1:7" ht="15.75" thickBot="1" x14ac:dyDescent="0.3">
      <c r="G40" s="40"/>
    </row>
    <row r="41" spans="1:7" ht="15.75" thickBot="1" x14ac:dyDescent="0.3">
      <c r="B41" s="69"/>
      <c r="C41" s="100" t="s">
        <v>34</v>
      </c>
      <c r="D41" s="99"/>
      <c r="E41" s="99"/>
      <c r="F41" s="99"/>
      <c r="G41" s="58">
        <f>G39*0.25</f>
        <v>152333.88079999998</v>
      </c>
    </row>
    <row r="42" spans="1:7" x14ac:dyDescent="0.25">
      <c r="F42" t="s">
        <v>33</v>
      </c>
      <c r="G42" s="59">
        <f>G41/365</f>
        <v>417.35309808219176</v>
      </c>
    </row>
    <row r="44" spans="1:7" x14ac:dyDescent="0.25">
      <c r="A44" t="s">
        <v>5</v>
      </c>
    </row>
    <row r="45" spans="1:7" x14ac:dyDescent="0.25">
      <c r="A45" t="s">
        <v>1</v>
      </c>
    </row>
    <row r="46" spans="1:7" x14ac:dyDescent="0.25">
      <c r="A46" t="s">
        <v>3</v>
      </c>
    </row>
  </sheetData>
  <mergeCells count="2">
    <mergeCell ref="E39:F39"/>
    <mergeCell ref="C41:F41"/>
  </mergeCells>
  <pageMargins left="0.7" right="0.7" top="0.75" bottom="0.75" header="0.3" footer="0.3"/>
  <pageSetup orientation="portrait" horizontalDpi="1200" verticalDpi="1200" r:id="rId1"/>
  <headerFooter>
    <oddHeader>&amp;L80% Reduction Calculation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5"/>
  <sheetViews>
    <sheetView topLeftCell="A35" zoomScale="90" zoomScaleNormal="90" workbookViewId="0">
      <selection activeCell="G39" sqref="G39"/>
    </sheetView>
  </sheetViews>
  <sheetFormatPr defaultRowHeight="15" x14ac:dyDescent="0.25"/>
  <cols>
    <col min="1" max="1" width="11.42578125" customWidth="1"/>
    <col min="2" max="2" width="26.5703125" customWidth="1"/>
    <col min="3" max="3" width="14.42578125" customWidth="1"/>
    <col min="5" max="5" width="9.140625" style="97"/>
    <col min="6" max="6" width="17.42578125" customWidth="1"/>
    <col min="7" max="7" width="14.7109375" customWidth="1"/>
    <col min="8" max="8" width="12.28515625" customWidth="1"/>
  </cols>
  <sheetData>
    <row r="1" spans="1:9" ht="60" x14ac:dyDescent="0.25">
      <c r="A1" s="5"/>
      <c r="B1" s="71" t="s">
        <v>25</v>
      </c>
      <c r="C1" s="71" t="s">
        <v>27</v>
      </c>
      <c r="D1" s="71" t="s">
        <v>24</v>
      </c>
      <c r="E1" s="94" t="s">
        <v>32</v>
      </c>
      <c r="F1" s="71" t="s">
        <v>0</v>
      </c>
      <c r="G1" s="71" t="s">
        <v>30</v>
      </c>
    </row>
    <row r="2" spans="1:9" x14ac:dyDescent="0.25">
      <c r="A2" s="4">
        <v>43466</v>
      </c>
      <c r="B2" s="5">
        <v>0.6</v>
      </c>
      <c r="C2" s="5"/>
      <c r="D2" s="5">
        <v>10.199999999999999</v>
      </c>
      <c r="E2" s="95">
        <v>316.2</v>
      </c>
      <c r="F2" s="93">
        <f>B2*E2*8.34</f>
        <v>1582.2647999999999</v>
      </c>
      <c r="G2" s="85"/>
    </row>
    <row r="3" spans="1:9" x14ac:dyDescent="0.25">
      <c r="A3" s="4">
        <v>43497</v>
      </c>
      <c r="B3" s="5">
        <v>0.5</v>
      </c>
      <c r="C3" s="5"/>
      <c r="D3" s="5">
        <v>10.5</v>
      </c>
      <c r="E3" s="95">
        <v>294</v>
      </c>
      <c r="F3" s="93">
        <f t="shared" ref="F3:F37" si="0">B3*E3*8.34</f>
        <v>1225.98</v>
      </c>
      <c r="G3" s="85"/>
    </row>
    <row r="4" spans="1:9" x14ac:dyDescent="0.25">
      <c r="A4" s="4">
        <v>43525</v>
      </c>
      <c r="B4" s="5">
        <v>0.7</v>
      </c>
      <c r="C4" s="5"/>
      <c r="D4" s="5">
        <v>10.3</v>
      </c>
      <c r="E4" s="95">
        <v>319.3</v>
      </c>
      <c r="F4" s="93">
        <f t="shared" si="0"/>
        <v>1864.0734</v>
      </c>
      <c r="G4" s="85"/>
    </row>
    <row r="5" spans="1:9" x14ac:dyDescent="0.25">
      <c r="A5" s="4">
        <v>43556</v>
      </c>
      <c r="B5" s="5">
        <v>0.9</v>
      </c>
      <c r="C5" s="5"/>
      <c r="D5" s="5">
        <v>10.7</v>
      </c>
      <c r="E5" s="95">
        <v>321</v>
      </c>
      <c r="F5" s="93">
        <f t="shared" si="0"/>
        <v>2409.4260000000004</v>
      </c>
      <c r="G5" s="85"/>
    </row>
    <row r="6" spans="1:9" x14ac:dyDescent="0.25">
      <c r="A6" s="4">
        <v>43586</v>
      </c>
      <c r="B6" s="28">
        <v>1.1000000000000001</v>
      </c>
      <c r="C6" s="5"/>
      <c r="D6" s="5">
        <v>11.1</v>
      </c>
      <c r="E6" s="95">
        <v>344.09999999999997</v>
      </c>
      <c r="F6" s="93">
        <f t="shared" si="0"/>
        <v>3156.7734</v>
      </c>
      <c r="G6" s="85"/>
    </row>
    <row r="7" spans="1:9" x14ac:dyDescent="0.25">
      <c r="A7" s="4">
        <v>43617</v>
      </c>
      <c r="B7" s="28">
        <v>1.3</v>
      </c>
      <c r="C7" s="5"/>
      <c r="D7" s="5">
        <v>13.4</v>
      </c>
      <c r="E7" s="95">
        <v>402</v>
      </c>
      <c r="F7" s="93">
        <f t="shared" si="0"/>
        <v>4358.4840000000004</v>
      </c>
      <c r="G7" s="85"/>
    </row>
    <row r="8" spans="1:9" x14ac:dyDescent="0.25">
      <c r="A8" s="4">
        <v>43647</v>
      </c>
      <c r="B8" s="5">
        <v>0.8</v>
      </c>
      <c r="C8" s="5"/>
      <c r="D8" s="5">
        <v>14.5</v>
      </c>
      <c r="E8" s="95">
        <v>449.5</v>
      </c>
      <c r="F8" s="93">
        <f t="shared" si="0"/>
        <v>2999.0640000000003</v>
      </c>
      <c r="G8" s="85"/>
    </row>
    <row r="9" spans="1:9" x14ac:dyDescent="0.25">
      <c r="A9" s="4">
        <v>43678</v>
      </c>
      <c r="B9" s="5">
        <v>0.9</v>
      </c>
      <c r="C9" s="5"/>
      <c r="D9" s="5">
        <v>14.3</v>
      </c>
      <c r="E9" s="95">
        <v>443.3</v>
      </c>
      <c r="F9" s="93">
        <f t="shared" si="0"/>
        <v>3327.4098000000004</v>
      </c>
      <c r="G9" s="85"/>
    </row>
    <row r="10" spans="1:9" x14ac:dyDescent="0.25">
      <c r="A10" s="4">
        <v>43709</v>
      </c>
      <c r="B10" s="28">
        <v>1.1000000000000001</v>
      </c>
      <c r="C10" s="5"/>
      <c r="D10" s="5">
        <v>12.1</v>
      </c>
      <c r="E10" s="95">
        <v>363</v>
      </c>
      <c r="F10" s="93">
        <f t="shared" si="0"/>
        <v>3330.1620000000003</v>
      </c>
      <c r="G10" s="85"/>
    </row>
    <row r="11" spans="1:9" x14ac:dyDescent="0.25">
      <c r="A11" s="4">
        <v>43739</v>
      </c>
      <c r="B11" s="28">
        <v>1.4</v>
      </c>
      <c r="C11" s="5"/>
      <c r="D11" s="5">
        <v>11.8</v>
      </c>
      <c r="E11" s="95">
        <v>365.8</v>
      </c>
      <c r="F11" s="93">
        <f t="shared" si="0"/>
        <v>4271.0807999999997</v>
      </c>
      <c r="G11" s="85"/>
    </row>
    <row r="12" spans="1:9" ht="15.75" thickBot="1" x14ac:dyDescent="0.3">
      <c r="A12" s="4">
        <v>43770</v>
      </c>
      <c r="B12" s="5">
        <v>0.2</v>
      </c>
      <c r="C12" s="11"/>
      <c r="D12" s="5">
        <v>10.8</v>
      </c>
      <c r="E12" s="95">
        <v>324</v>
      </c>
      <c r="F12" s="93">
        <f t="shared" si="0"/>
        <v>540.43200000000002</v>
      </c>
      <c r="G12" s="86"/>
    </row>
    <row r="13" spans="1:9" ht="15.75" thickBot="1" x14ac:dyDescent="0.3">
      <c r="A13" s="4">
        <v>43800</v>
      </c>
      <c r="B13" s="10">
        <v>0.3</v>
      </c>
      <c r="C13" s="60">
        <f>AVERAGE(B2:B13)</f>
        <v>0.81666666666666676</v>
      </c>
      <c r="D13" s="49">
        <v>11.5</v>
      </c>
      <c r="E13" s="95">
        <v>356.5</v>
      </c>
      <c r="F13" s="93">
        <f t="shared" si="0"/>
        <v>891.96299999999997</v>
      </c>
      <c r="G13" s="58">
        <f>SUM(F2:F13)</f>
        <v>29957.113200000003</v>
      </c>
      <c r="I13" s="40"/>
    </row>
    <row r="14" spans="1:9" ht="15.75" thickBot="1" x14ac:dyDescent="0.3">
      <c r="A14" s="4">
        <v>43831</v>
      </c>
      <c r="B14" s="28">
        <v>1.2</v>
      </c>
      <c r="C14" s="62">
        <f>AVERAGE(B3:B14)</f>
        <v>0.8666666666666667</v>
      </c>
      <c r="D14" s="5">
        <v>9.8000000000000007</v>
      </c>
      <c r="E14" s="95">
        <v>303.8</v>
      </c>
      <c r="F14" s="93">
        <f t="shared" si="0"/>
        <v>3040.4304000000002</v>
      </c>
      <c r="G14" s="87">
        <f>SUM(F3:F14)</f>
        <v>31415.278800000004</v>
      </c>
      <c r="H14" s="40"/>
    </row>
    <row r="15" spans="1:9" ht="15.75" thickBot="1" x14ac:dyDescent="0.3">
      <c r="A15" s="4">
        <v>43862</v>
      </c>
      <c r="B15" s="5">
        <v>0.6</v>
      </c>
      <c r="C15" s="62">
        <f>AVERAGE(B4:B15)</f>
        <v>0.875</v>
      </c>
      <c r="D15" s="5">
        <v>10.199999999999999</v>
      </c>
      <c r="E15" s="95">
        <v>285.59999999999997</v>
      </c>
      <c r="F15" s="93">
        <f t="shared" si="0"/>
        <v>1429.1424</v>
      </c>
      <c r="G15" s="88">
        <f>SUM(F4:F15)</f>
        <v>31618.441200000005</v>
      </c>
      <c r="H15" s="40"/>
    </row>
    <row r="16" spans="1:9" ht="15.75" thickBot="1" x14ac:dyDescent="0.3">
      <c r="A16" s="4">
        <v>43891</v>
      </c>
      <c r="B16" s="5">
        <v>0.7</v>
      </c>
      <c r="C16" s="62">
        <f t="shared" ref="C16:C36" si="1">AVERAGE(B5:B16)</f>
        <v>0.87499999999999989</v>
      </c>
      <c r="D16" s="5">
        <v>10.8</v>
      </c>
      <c r="E16" s="95">
        <v>334.8</v>
      </c>
      <c r="F16" s="93">
        <f t="shared" si="0"/>
        <v>1954.5623999999998</v>
      </c>
      <c r="G16" s="88">
        <f>SUM(F5:F16)</f>
        <v>31708.930200000003</v>
      </c>
      <c r="H16" s="40"/>
    </row>
    <row r="17" spans="1:8" ht="15.75" thickBot="1" x14ac:dyDescent="0.3">
      <c r="A17" s="4">
        <v>43922</v>
      </c>
      <c r="B17" s="5">
        <v>1</v>
      </c>
      <c r="C17" s="62">
        <f t="shared" si="1"/>
        <v>0.8833333333333333</v>
      </c>
      <c r="D17" s="5">
        <v>11.2</v>
      </c>
      <c r="E17" s="95">
        <v>336</v>
      </c>
      <c r="F17" s="93">
        <f t="shared" si="0"/>
        <v>2802.24</v>
      </c>
      <c r="G17" s="88">
        <f>SUM(F6:F17)</f>
        <v>32101.744200000001</v>
      </c>
      <c r="H17" s="40"/>
    </row>
    <row r="18" spans="1:8" ht="15.75" thickBot="1" x14ac:dyDescent="0.3">
      <c r="A18" s="4">
        <v>43952</v>
      </c>
      <c r="B18" s="38">
        <v>3.1</v>
      </c>
      <c r="C18" s="62">
        <f t="shared" si="1"/>
        <v>1.05</v>
      </c>
      <c r="D18" s="5">
        <v>12.6</v>
      </c>
      <c r="E18" s="95">
        <v>390.59999999999997</v>
      </c>
      <c r="F18" s="93">
        <f t="shared" si="0"/>
        <v>10098.572399999999</v>
      </c>
      <c r="G18" s="88">
        <f>SUM(F7:F18)</f>
        <v>39043.5432</v>
      </c>
      <c r="H18" s="40"/>
    </row>
    <row r="19" spans="1:8" ht="15.75" thickBot="1" x14ac:dyDescent="0.3">
      <c r="A19" s="4">
        <v>43983</v>
      </c>
      <c r="B19" s="28">
        <v>1.9</v>
      </c>
      <c r="C19" s="62">
        <f t="shared" si="1"/>
        <v>1.0999999999999999</v>
      </c>
      <c r="D19" s="5">
        <v>13.1</v>
      </c>
      <c r="E19" s="95">
        <v>393</v>
      </c>
      <c r="F19" s="93">
        <f t="shared" si="0"/>
        <v>6227.4779999999992</v>
      </c>
      <c r="G19" s="88">
        <f>SUM(F8:F19)</f>
        <v>40912.537199999992</v>
      </c>
      <c r="H19" s="40"/>
    </row>
    <row r="20" spans="1:8" ht="15.75" thickBot="1" x14ac:dyDescent="0.3">
      <c r="A20" s="4">
        <v>44013</v>
      </c>
      <c r="B20" s="28">
        <v>1.6</v>
      </c>
      <c r="C20" s="62">
        <f t="shared" si="1"/>
        <v>1.1666666666666667</v>
      </c>
      <c r="D20" s="5">
        <v>10.9</v>
      </c>
      <c r="E20" s="95">
        <v>337.90000000000003</v>
      </c>
      <c r="F20" s="93">
        <f t="shared" si="0"/>
        <v>4508.9376000000011</v>
      </c>
      <c r="G20" s="88">
        <f>SUM(F9:F20)</f>
        <v>42422.410799999998</v>
      </c>
      <c r="H20" s="75"/>
    </row>
    <row r="21" spans="1:8" ht="15.75" thickBot="1" x14ac:dyDescent="0.3">
      <c r="A21" s="4">
        <v>44044</v>
      </c>
      <c r="B21" s="5">
        <v>0.8</v>
      </c>
      <c r="C21" s="62">
        <f t="shared" si="1"/>
        <v>1.1583333333333334</v>
      </c>
      <c r="D21" s="5">
        <v>11.2</v>
      </c>
      <c r="E21" s="95">
        <v>347.2</v>
      </c>
      <c r="F21" s="93">
        <f t="shared" si="0"/>
        <v>2316.5183999999999</v>
      </c>
      <c r="G21" s="88">
        <f>SUM(F10:F21)</f>
        <v>41411.519400000005</v>
      </c>
      <c r="H21" s="40"/>
    </row>
    <row r="22" spans="1:8" ht="15.75" thickBot="1" x14ac:dyDescent="0.3">
      <c r="A22" s="4">
        <v>44075</v>
      </c>
      <c r="B22" s="5">
        <v>0.7</v>
      </c>
      <c r="C22" s="62">
        <f t="shared" si="1"/>
        <v>1.125</v>
      </c>
      <c r="D22" s="5">
        <v>11.7</v>
      </c>
      <c r="E22" s="95">
        <v>351</v>
      </c>
      <c r="F22" s="93">
        <f t="shared" si="0"/>
        <v>2049.1379999999999</v>
      </c>
      <c r="G22" s="88">
        <f>SUM(F11:F22)</f>
        <v>40130.4954</v>
      </c>
      <c r="H22" s="40"/>
    </row>
    <row r="23" spans="1:8" ht="15.75" thickBot="1" x14ac:dyDescent="0.3">
      <c r="A23" s="4">
        <v>44105</v>
      </c>
      <c r="B23" s="5">
        <v>0.9</v>
      </c>
      <c r="C23" s="62">
        <f t="shared" si="1"/>
        <v>1.0833333333333333</v>
      </c>
      <c r="D23" s="5">
        <v>12.1</v>
      </c>
      <c r="E23" s="95">
        <v>375.09999999999997</v>
      </c>
      <c r="F23" s="93">
        <f t="shared" si="0"/>
        <v>2815.5005999999998</v>
      </c>
      <c r="G23" s="88">
        <f>SUM(F12:F23)</f>
        <v>38674.915199999996</v>
      </c>
      <c r="H23" s="40"/>
    </row>
    <row r="24" spans="1:8" ht="15.75" thickBot="1" x14ac:dyDescent="0.3">
      <c r="A24" s="4">
        <v>44136</v>
      </c>
      <c r="B24" s="5">
        <v>1</v>
      </c>
      <c r="C24" s="60">
        <f t="shared" si="1"/>
        <v>1.1500000000000001</v>
      </c>
      <c r="D24" s="7">
        <v>9.6999999999999993</v>
      </c>
      <c r="E24" s="95">
        <v>291</v>
      </c>
      <c r="F24" s="93">
        <f t="shared" si="0"/>
        <v>2426.94</v>
      </c>
      <c r="G24" s="89">
        <f>SUM(F13:F24)</f>
        <v>40561.423199999997</v>
      </c>
      <c r="H24" s="40"/>
    </row>
    <row r="25" spans="1:8" ht="15.75" thickBot="1" x14ac:dyDescent="0.3">
      <c r="A25" s="16">
        <v>44166</v>
      </c>
      <c r="B25" s="17">
        <v>0.7</v>
      </c>
      <c r="C25" s="60">
        <f t="shared" si="1"/>
        <v>1.1833333333333333</v>
      </c>
      <c r="D25" s="7">
        <v>10.5</v>
      </c>
      <c r="E25" s="95">
        <v>325.5</v>
      </c>
      <c r="F25" s="93">
        <f t="shared" si="0"/>
        <v>1900.269</v>
      </c>
      <c r="G25" s="58">
        <f t="shared" ref="G25:G37" si="2">SUM(F14:F25)</f>
        <v>41569.729200000002</v>
      </c>
      <c r="H25" s="40"/>
    </row>
    <row r="26" spans="1:8" ht="15.75" thickBot="1" x14ac:dyDescent="0.3">
      <c r="A26" s="4">
        <v>44197</v>
      </c>
      <c r="B26" s="9">
        <v>0.4</v>
      </c>
      <c r="C26" s="62">
        <f t="shared" si="1"/>
        <v>1.1166666666666667</v>
      </c>
      <c r="D26" s="7">
        <v>10.7</v>
      </c>
      <c r="E26" s="95">
        <v>331.7</v>
      </c>
      <c r="F26" s="93">
        <f t="shared" si="0"/>
        <v>1106.5512000000001</v>
      </c>
      <c r="G26" s="87">
        <f t="shared" si="2"/>
        <v>39635.850000000006</v>
      </c>
      <c r="H26" s="40"/>
    </row>
    <row r="27" spans="1:8" ht="15.75" thickBot="1" x14ac:dyDescent="0.3">
      <c r="A27" s="4">
        <v>44228</v>
      </c>
      <c r="B27" s="19">
        <v>1.4</v>
      </c>
      <c r="C27" s="62">
        <f t="shared" si="1"/>
        <v>1.1833333333333333</v>
      </c>
      <c r="D27" s="7">
        <v>10.9</v>
      </c>
      <c r="E27" s="95">
        <v>305.2</v>
      </c>
      <c r="F27" s="93">
        <f t="shared" si="0"/>
        <v>3563.5151999999998</v>
      </c>
      <c r="G27" s="88">
        <f t="shared" si="2"/>
        <v>41770.222800000003</v>
      </c>
      <c r="H27" s="40"/>
    </row>
    <row r="28" spans="1:8" ht="15.75" thickBot="1" x14ac:dyDescent="0.3">
      <c r="A28" s="4">
        <v>44256</v>
      </c>
      <c r="B28" s="9">
        <v>0.8</v>
      </c>
      <c r="C28" s="62">
        <f t="shared" si="1"/>
        <v>1.1916666666666667</v>
      </c>
      <c r="D28" s="7">
        <v>11.8</v>
      </c>
      <c r="E28" s="95">
        <v>365.8</v>
      </c>
      <c r="F28" s="93">
        <f t="shared" si="0"/>
        <v>2440.6176000000005</v>
      </c>
      <c r="G28" s="88">
        <f t="shared" si="2"/>
        <v>42256.277999999998</v>
      </c>
      <c r="H28" s="40"/>
    </row>
    <row r="29" spans="1:8" ht="15.75" thickBot="1" x14ac:dyDescent="0.3">
      <c r="A29" s="4">
        <v>44287</v>
      </c>
      <c r="B29" s="9">
        <v>1</v>
      </c>
      <c r="C29" s="62">
        <f t="shared" si="1"/>
        <v>1.1916666666666667</v>
      </c>
      <c r="D29" s="7">
        <v>12.3</v>
      </c>
      <c r="E29" s="95">
        <v>369</v>
      </c>
      <c r="F29" s="93">
        <f t="shared" si="0"/>
        <v>3077.46</v>
      </c>
      <c r="G29" s="88">
        <f t="shared" si="2"/>
        <v>42531.497999999992</v>
      </c>
      <c r="H29" s="40"/>
    </row>
    <row r="30" spans="1:8" ht="15.75" thickBot="1" x14ac:dyDescent="0.3">
      <c r="A30" s="4">
        <v>44317</v>
      </c>
      <c r="B30" s="9">
        <v>0.9</v>
      </c>
      <c r="C30" s="62">
        <f t="shared" si="1"/>
        <v>1.0083333333333335</v>
      </c>
      <c r="D30" s="7">
        <v>13.4</v>
      </c>
      <c r="E30" s="95">
        <v>415.40000000000003</v>
      </c>
      <c r="F30" s="93">
        <f t="shared" si="0"/>
        <v>3117.9924000000001</v>
      </c>
      <c r="G30" s="88">
        <f t="shared" si="2"/>
        <v>35550.917999999998</v>
      </c>
      <c r="H30" s="40"/>
    </row>
    <row r="31" spans="1:8" ht="15.75" thickBot="1" x14ac:dyDescent="0.3">
      <c r="A31" s="4">
        <v>44348</v>
      </c>
      <c r="B31" s="39">
        <v>2.6</v>
      </c>
      <c r="C31" s="62">
        <f t="shared" si="1"/>
        <v>1.0666666666666669</v>
      </c>
      <c r="D31" s="7">
        <v>12.5</v>
      </c>
      <c r="E31" s="95">
        <v>375</v>
      </c>
      <c r="F31" s="93">
        <f t="shared" si="0"/>
        <v>8131.5</v>
      </c>
      <c r="G31" s="88">
        <f t="shared" si="2"/>
        <v>37454.94</v>
      </c>
      <c r="H31" s="40"/>
    </row>
    <row r="32" spans="1:8" ht="15.75" thickBot="1" x14ac:dyDescent="0.3">
      <c r="A32" s="4">
        <v>44378</v>
      </c>
      <c r="B32" s="19">
        <v>2.2000000000000002</v>
      </c>
      <c r="C32" s="62">
        <f t="shared" si="1"/>
        <v>1.1166666666666665</v>
      </c>
      <c r="D32" s="7">
        <v>11.5</v>
      </c>
      <c r="E32" s="95">
        <v>356.5</v>
      </c>
      <c r="F32" s="93">
        <f t="shared" si="0"/>
        <v>6541.0620000000008</v>
      </c>
      <c r="G32" s="88">
        <f t="shared" si="2"/>
        <v>39487.064399999996</v>
      </c>
      <c r="H32" s="40"/>
    </row>
    <row r="33" spans="1:8" ht="15.75" thickBot="1" x14ac:dyDescent="0.3">
      <c r="A33" s="4">
        <v>44409</v>
      </c>
      <c r="B33" s="19">
        <v>1.1000000000000001</v>
      </c>
      <c r="C33" s="62">
        <f t="shared" si="1"/>
        <v>1.1416666666666668</v>
      </c>
      <c r="D33" s="7">
        <v>10.8</v>
      </c>
      <c r="E33" s="95">
        <v>334.8</v>
      </c>
      <c r="F33" s="93">
        <f t="shared" si="0"/>
        <v>3071.4552000000003</v>
      </c>
      <c r="G33" s="88">
        <f t="shared" si="2"/>
        <v>40242.001199999999</v>
      </c>
      <c r="H33" s="40"/>
    </row>
    <row r="34" spans="1:8" ht="15.75" thickBot="1" x14ac:dyDescent="0.3">
      <c r="A34" s="4">
        <v>44440</v>
      </c>
      <c r="B34" s="9">
        <v>0.9</v>
      </c>
      <c r="C34" s="62">
        <f t="shared" si="1"/>
        <v>1.1583333333333332</v>
      </c>
      <c r="D34" s="7">
        <v>10.3</v>
      </c>
      <c r="E34" s="95">
        <v>309</v>
      </c>
      <c r="F34" s="93">
        <f t="shared" si="0"/>
        <v>2319.3540000000003</v>
      </c>
      <c r="G34" s="88">
        <f t="shared" si="2"/>
        <v>40512.217199999992</v>
      </c>
      <c r="H34" s="40"/>
    </row>
    <row r="35" spans="1:8" ht="15.75" thickBot="1" x14ac:dyDescent="0.3">
      <c r="A35" s="4">
        <v>44470</v>
      </c>
      <c r="B35" s="9">
        <v>0.6</v>
      </c>
      <c r="C35" s="62">
        <f t="shared" si="1"/>
        <v>1.1333333333333333</v>
      </c>
      <c r="D35" s="7">
        <v>9.6999999999999993</v>
      </c>
      <c r="E35" s="95">
        <v>300.7</v>
      </c>
      <c r="F35" s="93">
        <f t="shared" si="0"/>
        <v>1504.7027999999998</v>
      </c>
      <c r="G35" s="88">
        <f t="shared" si="2"/>
        <v>39201.419399999999</v>
      </c>
      <c r="H35" s="40"/>
    </row>
    <row r="36" spans="1:8" ht="15.75" thickBot="1" x14ac:dyDescent="0.3">
      <c r="A36" s="4">
        <v>44501</v>
      </c>
      <c r="B36" s="9">
        <v>0.5</v>
      </c>
      <c r="C36" s="62">
        <f t="shared" si="1"/>
        <v>1.0916666666666666</v>
      </c>
      <c r="D36" s="7">
        <v>11.2</v>
      </c>
      <c r="E36" s="95">
        <v>336</v>
      </c>
      <c r="F36" s="93">
        <f t="shared" si="0"/>
        <v>1401.12</v>
      </c>
      <c r="G36" s="89">
        <f t="shared" si="2"/>
        <v>38175.599400000006</v>
      </c>
      <c r="H36" s="40"/>
    </row>
    <row r="37" spans="1:8" ht="15.75" thickBot="1" x14ac:dyDescent="0.3">
      <c r="A37" s="6">
        <v>44531</v>
      </c>
      <c r="B37" s="22">
        <v>0.3</v>
      </c>
      <c r="C37" s="60">
        <f>AVERAGE(B26:B37)</f>
        <v>1.0583333333333333</v>
      </c>
      <c r="D37" s="7">
        <v>10.199999999999999</v>
      </c>
      <c r="E37" s="95">
        <v>316.2</v>
      </c>
      <c r="F37" s="93">
        <f t="shared" si="0"/>
        <v>791.13239999999996</v>
      </c>
      <c r="G37" s="58">
        <f t="shared" si="2"/>
        <v>37066.462800000008</v>
      </c>
      <c r="H37" s="40"/>
    </row>
    <row r="39" spans="1:8" x14ac:dyDescent="0.25">
      <c r="A39" s="1" t="s">
        <v>7</v>
      </c>
      <c r="B39" s="1"/>
      <c r="C39" s="26">
        <v>1</v>
      </c>
      <c r="D39" s="66" t="s">
        <v>6</v>
      </c>
      <c r="E39" s="96"/>
      <c r="F39" s="66"/>
      <c r="G39" s="52">
        <f>C39*B40*8.34*365</f>
        <v>42617.399999999994</v>
      </c>
      <c r="H39" s="1"/>
    </row>
    <row r="40" spans="1:8" x14ac:dyDescent="0.25">
      <c r="A40" s="1" t="s">
        <v>8</v>
      </c>
      <c r="B40" s="25">
        <v>14</v>
      </c>
      <c r="C40" s="24"/>
      <c r="D40" s="36"/>
      <c r="F40" s="36"/>
      <c r="G40" s="37"/>
    </row>
    <row r="42" spans="1:8" x14ac:dyDescent="0.25">
      <c r="A42" t="s">
        <v>5</v>
      </c>
    </row>
    <row r="43" spans="1:8" x14ac:dyDescent="0.25">
      <c r="A43" t="s">
        <v>1</v>
      </c>
    </row>
    <row r="44" spans="1:8" x14ac:dyDescent="0.25">
      <c r="A44" t="s">
        <v>3</v>
      </c>
    </row>
    <row r="45" spans="1:8" x14ac:dyDescent="0.25">
      <c r="A45" t="s">
        <v>9</v>
      </c>
    </row>
  </sheetData>
  <conditionalFormatting sqref="B2:B39 B66:B1048576">
    <cfRule type="cellIs" dxfId="12" priority="1" operator="greaterThan">
      <formula>1</formula>
    </cfRule>
  </conditionalFormatting>
  <pageMargins left="0.25" right="0.25" top="0.75" bottom="0.75" header="0.3" footer="0.3"/>
  <pageSetup orientation="portrait" horizontalDpi="1200" verticalDpi="1200" r:id="rId1"/>
  <headerFooter>
    <oddHeader>&amp;L&amp;"-,Bold"&amp;12 1.0 mg/L Mass Equivalent</oddHeader>
  </headerFooter>
  <ignoredErrors>
    <ignoredError sqref="C13:C14 C15:C22 C23:C3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6"/>
  <sheetViews>
    <sheetView topLeftCell="A14" zoomScaleNormal="100" workbookViewId="0">
      <selection activeCell="I37" sqref="I37"/>
    </sheetView>
  </sheetViews>
  <sheetFormatPr defaultRowHeight="15" x14ac:dyDescent="0.25"/>
  <cols>
    <col min="1" max="1" width="8.28515625" customWidth="1"/>
    <col min="2" max="2" width="14" customWidth="1"/>
    <col min="3" max="3" width="9.140625" bestFit="1" customWidth="1"/>
    <col min="4" max="4" width="8.5703125" customWidth="1"/>
    <col min="5" max="5" width="8.140625" customWidth="1"/>
    <col min="6" max="6" width="10.5703125" bestFit="1" customWidth="1"/>
    <col min="7" max="7" width="13.85546875" customWidth="1"/>
    <col min="8" max="8" width="15.28515625" customWidth="1"/>
    <col min="9" max="9" width="14.85546875" customWidth="1"/>
    <col min="11" max="11" width="11.5703125" bestFit="1" customWidth="1"/>
    <col min="12" max="12" width="11.7109375" bestFit="1" customWidth="1"/>
    <col min="13" max="14" width="11.5703125" bestFit="1" customWidth="1"/>
    <col min="20" max="20" width="11.5703125" bestFit="1" customWidth="1"/>
    <col min="21" max="21" width="10.140625" bestFit="1" customWidth="1"/>
  </cols>
  <sheetData>
    <row r="1" spans="1:21" s="3" customFormat="1" ht="75.75" thickBot="1" x14ac:dyDescent="0.3">
      <c r="A1" s="90"/>
      <c r="B1" s="91" t="s">
        <v>25</v>
      </c>
      <c r="C1" s="72" t="s">
        <v>27</v>
      </c>
      <c r="D1" s="72" t="s">
        <v>24</v>
      </c>
      <c r="E1" s="72" t="s">
        <v>32</v>
      </c>
      <c r="F1" s="72" t="s">
        <v>0</v>
      </c>
      <c r="G1" s="72" t="s">
        <v>21</v>
      </c>
      <c r="H1" s="72" t="s">
        <v>22</v>
      </c>
      <c r="I1" s="74" t="s">
        <v>31</v>
      </c>
    </row>
    <row r="2" spans="1:21" x14ac:dyDescent="0.25">
      <c r="A2" s="6">
        <v>43466</v>
      </c>
      <c r="B2" s="12">
        <v>22</v>
      </c>
      <c r="C2" s="7"/>
      <c r="D2" s="12">
        <v>10.199999999999999</v>
      </c>
      <c r="E2" s="12">
        <v>316.2</v>
      </c>
      <c r="F2" s="92">
        <f>B2*E2*8.34</f>
        <v>58016.375999999997</v>
      </c>
      <c r="G2" s="7"/>
      <c r="H2" s="7"/>
      <c r="I2" s="7"/>
    </row>
    <row r="3" spans="1:21" x14ac:dyDescent="0.25">
      <c r="A3" s="4">
        <v>43497</v>
      </c>
      <c r="B3" s="13">
        <v>21.5</v>
      </c>
      <c r="C3" s="5"/>
      <c r="D3" s="12">
        <v>10.5</v>
      </c>
      <c r="E3" s="13">
        <v>294</v>
      </c>
      <c r="F3" s="92">
        <f t="shared" ref="F3:F37" si="0">B3*E3*8.34</f>
        <v>52717.14</v>
      </c>
      <c r="G3" s="5"/>
      <c r="H3" s="5"/>
      <c r="I3" s="5"/>
    </row>
    <row r="4" spans="1:21" x14ac:dyDescent="0.25">
      <c r="A4" s="4">
        <v>43525</v>
      </c>
      <c r="B4" s="13">
        <v>19.7</v>
      </c>
      <c r="C4" s="5"/>
      <c r="D4" s="12">
        <v>10.3</v>
      </c>
      <c r="E4" s="13">
        <v>319.3</v>
      </c>
      <c r="F4" s="92">
        <f t="shared" si="0"/>
        <v>52460.3514</v>
      </c>
      <c r="G4" s="5"/>
      <c r="H4" s="5"/>
      <c r="I4" s="5"/>
    </row>
    <row r="5" spans="1:21" x14ac:dyDescent="0.25">
      <c r="A5" s="4">
        <v>43556</v>
      </c>
      <c r="B5" s="13">
        <v>17.5</v>
      </c>
      <c r="C5" s="5"/>
      <c r="D5" s="12">
        <v>10.7</v>
      </c>
      <c r="E5" s="13">
        <v>321</v>
      </c>
      <c r="F5" s="92">
        <f t="shared" si="0"/>
        <v>46849.95</v>
      </c>
      <c r="G5" s="5"/>
      <c r="H5" s="5"/>
      <c r="I5" s="5"/>
    </row>
    <row r="6" spans="1:21" x14ac:dyDescent="0.25">
      <c r="A6" s="4">
        <v>43586</v>
      </c>
      <c r="B6" s="13">
        <v>22.1</v>
      </c>
      <c r="C6" s="5"/>
      <c r="D6" s="12">
        <v>11.1</v>
      </c>
      <c r="E6" s="13">
        <v>344.09999999999997</v>
      </c>
      <c r="F6" s="92">
        <f t="shared" si="0"/>
        <v>63422.447399999997</v>
      </c>
      <c r="G6" s="5"/>
      <c r="H6" s="5"/>
      <c r="I6" s="5"/>
    </row>
    <row r="7" spans="1:21" x14ac:dyDescent="0.25">
      <c r="A7" s="4">
        <v>43617</v>
      </c>
      <c r="B7" s="13">
        <v>18.5</v>
      </c>
      <c r="C7" s="5"/>
      <c r="D7" s="12">
        <v>13.4</v>
      </c>
      <c r="E7" s="13">
        <v>402</v>
      </c>
      <c r="F7" s="92">
        <f t="shared" si="0"/>
        <v>62024.58</v>
      </c>
      <c r="G7" s="5"/>
      <c r="H7" s="5"/>
      <c r="I7" s="5"/>
    </row>
    <row r="8" spans="1:21" x14ac:dyDescent="0.25">
      <c r="A8" s="4">
        <v>43647</v>
      </c>
      <c r="B8" s="13">
        <v>17</v>
      </c>
      <c r="C8" s="5"/>
      <c r="D8" s="12">
        <v>14.5</v>
      </c>
      <c r="E8" s="13">
        <v>449.5</v>
      </c>
      <c r="F8" s="92">
        <f t="shared" si="0"/>
        <v>63730.11</v>
      </c>
      <c r="G8" s="5"/>
      <c r="H8" s="5"/>
      <c r="I8" s="5"/>
    </row>
    <row r="9" spans="1:21" x14ac:dyDescent="0.25">
      <c r="A9" s="4">
        <v>43678</v>
      </c>
      <c r="B9" s="13">
        <v>20.2</v>
      </c>
      <c r="C9" s="5"/>
      <c r="D9" s="12">
        <v>14.3</v>
      </c>
      <c r="E9" s="13">
        <v>443.3</v>
      </c>
      <c r="F9" s="92">
        <f t="shared" si="0"/>
        <v>74681.864399999991</v>
      </c>
      <c r="G9" s="5"/>
      <c r="H9" s="5"/>
      <c r="I9" s="5"/>
    </row>
    <row r="10" spans="1:21" x14ac:dyDescent="0.25">
      <c r="A10" s="4">
        <v>43709</v>
      </c>
      <c r="B10" s="13">
        <v>17.5</v>
      </c>
      <c r="C10" s="5"/>
      <c r="D10" s="12">
        <v>12.1</v>
      </c>
      <c r="E10" s="13">
        <v>363</v>
      </c>
      <c r="F10" s="92">
        <f t="shared" si="0"/>
        <v>52979.85</v>
      </c>
      <c r="G10" s="5"/>
      <c r="H10" s="5"/>
      <c r="I10" s="5"/>
    </row>
    <row r="11" spans="1:21" x14ac:dyDescent="0.25">
      <c r="A11" s="4">
        <v>43739</v>
      </c>
      <c r="B11" s="13">
        <v>14.3</v>
      </c>
      <c r="C11" s="5"/>
      <c r="D11" s="12">
        <v>11.8</v>
      </c>
      <c r="E11" s="13">
        <v>365.8</v>
      </c>
      <c r="F11" s="92">
        <f t="shared" si="0"/>
        <v>43626.039600000004</v>
      </c>
      <c r="G11" s="5"/>
      <c r="H11" s="5"/>
      <c r="I11" s="5"/>
    </row>
    <row r="12" spans="1:21" x14ac:dyDescent="0.25">
      <c r="A12" s="4">
        <v>43770</v>
      </c>
      <c r="B12" s="13">
        <v>13.2</v>
      </c>
      <c r="C12" s="5"/>
      <c r="D12" s="12">
        <v>10.8</v>
      </c>
      <c r="E12" s="13">
        <v>324</v>
      </c>
      <c r="F12" s="92">
        <f t="shared" si="0"/>
        <v>35668.512000000002</v>
      </c>
      <c r="G12" s="5"/>
      <c r="H12" s="5"/>
      <c r="I12" s="5"/>
      <c r="K12" s="70"/>
    </row>
    <row r="13" spans="1:21" x14ac:dyDescent="0.25">
      <c r="A13" s="4">
        <v>43800</v>
      </c>
      <c r="B13" s="13">
        <v>11.5</v>
      </c>
      <c r="C13" s="50">
        <f>AVERAGE(B13,B2:B12)</f>
        <v>17.916666666666668</v>
      </c>
      <c r="D13" s="12">
        <v>11.5</v>
      </c>
      <c r="E13" s="13">
        <v>356.5</v>
      </c>
      <c r="F13" s="92">
        <f t="shared" si="0"/>
        <v>34191.915000000001</v>
      </c>
      <c r="G13" s="35">
        <f>SUM(F2:F13)</f>
        <v>640369.13580000005</v>
      </c>
      <c r="H13" s="61">
        <v>490000</v>
      </c>
      <c r="I13" s="35">
        <f>G13-H14</f>
        <v>150369.13580000005</v>
      </c>
    </row>
    <row r="14" spans="1:21" x14ac:dyDescent="0.25">
      <c r="A14" s="4">
        <v>43831</v>
      </c>
      <c r="B14" s="13">
        <v>21.3</v>
      </c>
      <c r="C14" s="50">
        <f>AVERAGE(B14,B11:B12,B13,B3:B10)</f>
        <v>17.858333333333331</v>
      </c>
      <c r="D14" s="12">
        <v>9.8000000000000007</v>
      </c>
      <c r="E14" s="13">
        <v>303.8</v>
      </c>
      <c r="F14" s="92">
        <f t="shared" si="0"/>
        <v>53967.639600000002</v>
      </c>
      <c r="G14" s="44">
        <f>SUM(F3:F14)</f>
        <v>636320.39939999999</v>
      </c>
      <c r="H14" s="32">
        <v>490000</v>
      </c>
      <c r="I14" s="33">
        <f>G14-H14</f>
        <v>146320.39939999999</v>
      </c>
    </row>
    <row r="15" spans="1:21" x14ac:dyDescent="0.25">
      <c r="A15" s="4">
        <v>43862</v>
      </c>
      <c r="B15" s="13">
        <v>19.5</v>
      </c>
      <c r="C15" s="50">
        <f>AVERAGE(B15,B4:B14)</f>
        <v>17.691666666666666</v>
      </c>
      <c r="D15" s="12">
        <v>10.199999999999999</v>
      </c>
      <c r="E15" s="13">
        <v>285.59999999999997</v>
      </c>
      <c r="F15" s="92">
        <f t="shared" si="0"/>
        <v>46447.12799999999</v>
      </c>
      <c r="G15" s="44">
        <f>SUM(F4:F15)</f>
        <v>630050.38740000001</v>
      </c>
      <c r="H15" s="32">
        <v>490000</v>
      </c>
      <c r="I15" s="33">
        <f t="shared" ref="I15:I37" si="1">G15-H15</f>
        <v>140050.38740000001</v>
      </c>
      <c r="T15" s="76"/>
      <c r="U15" s="40"/>
    </row>
    <row r="16" spans="1:21" x14ac:dyDescent="0.25">
      <c r="A16" s="4">
        <v>43891</v>
      </c>
      <c r="B16" s="13">
        <v>17.8</v>
      </c>
      <c r="C16" s="50">
        <f>AVERAGE(B16,B5:B15)</f>
        <v>17.533333333333335</v>
      </c>
      <c r="D16" s="12">
        <v>10.8</v>
      </c>
      <c r="E16" s="13">
        <v>334.8</v>
      </c>
      <c r="F16" s="92">
        <f t="shared" si="0"/>
        <v>49701.729600000006</v>
      </c>
      <c r="G16" s="44">
        <f t="shared" ref="G16:G37" si="2">SUM(F5:F16)</f>
        <v>627291.76559999993</v>
      </c>
      <c r="H16" s="32">
        <v>490000</v>
      </c>
      <c r="I16" s="33">
        <f t="shared" si="1"/>
        <v>137291.76559999993</v>
      </c>
      <c r="T16" s="76"/>
      <c r="U16" s="40"/>
    </row>
    <row r="17" spans="1:21" x14ac:dyDescent="0.25">
      <c r="A17" s="4">
        <v>43922</v>
      </c>
      <c r="B17" s="13">
        <v>20.8</v>
      </c>
      <c r="C17" s="50">
        <f>AVERAGE(B17,B6:B16)</f>
        <v>17.808333333333334</v>
      </c>
      <c r="D17" s="12">
        <v>11.2</v>
      </c>
      <c r="E17" s="13">
        <v>336</v>
      </c>
      <c r="F17" s="92">
        <f t="shared" si="0"/>
        <v>58286.591999999997</v>
      </c>
      <c r="G17" s="44">
        <f t="shared" si="2"/>
        <v>638728.4075999998</v>
      </c>
      <c r="H17" s="32">
        <v>490000</v>
      </c>
      <c r="I17" s="33">
        <f t="shared" si="1"/>
        <v>148728.4075999998</v>
      </c>
      <c r="T17" s="76"/>
      <c r="U17" s="40"/>
    </row>
    <row r="18" spans="1:21" x14ac:dyDescent="0.25">
      <c r="A18" s="4">
        <v>43952</v>
      </c>
      <c r="B18" s="13">
        <v>16.399999999999999</v>
      </c>
      <c r="C18" s="50">
        <f>AVERAGE(B7:B18)</f>
        <v>17.333333333333336</v>
      </c>
      <c r="D18" s="12">
        <v>12.6</v>
      </c>
      <c r="E18" s="13">
        <v>390.59999999999997</v>
      </c>
      <c r="F18" s="92">
        <f t="shared" si="0"/>
        <v>53424.705599999994</v>
      </c>
      <c r="G18" s="44">
        <f t="shared" si="2"/>
        <v>628730.66579999996</v>
      </c>
      <c r="H18" s="32">
        <v>490000</v>
      </c>
      <c r="I18" s="33">
        <f t="shared" si="1"/>
        <v>138730.66579999996</v>
      </c>
      <c r="T18" s="76"/>
      <c r="U18" s="40"/>
    </row>
    <row r="19" spans="1:21" x14ac:dyDescent="0.25">
      <c r="A19" s="4">
        <v>43983</v>
      </c>
      <c r="B19" s="13">
        <v>18.5</v>
      </c>
      <c r="C19" s="50">
        <f>AVERAGE(B19,B8:B18)</f>
        <v>17.333333333333336</v>
      </c>
      <c r="D19" s="12">
        <v>13.1</v>
      </c>
      <c r="E19" s="13">
        <v>393</v>
      </c>
      <c r="F19" s="92">
        <f t="shared" si="0"/>
        <v>60635.97</v>
      </c>
      <c r="G19" s="44">
        <f t="shared" si="2"/>
        <v>627342.05579999997</v>
      </c>
      <c r="H19" s="32">
        <v>490000</v>
      </c>
      <c r="I19" s="33">
        <f t="shared" si="1"/>
        <v>137342.05579999997</v>
      </c>
      <c r="T19" s="76"/>
      <c r="U19" s="40"/>
    </row>
    <row r="20" spans="1:21" x14ac:dyDescent="0.25">
      <c r="A20" s="4">
        <v>44013</v>
      </c>
      <c r="B20" s="13">
        <v>21.7</v>
      </c>
      <c r="C20" s="50">
        <f>AVERAGE(B20,B9:B19)</f>
        <v>17.725000000000001</v>
      </c>
      <c r="D20" s="12">
        <v>10.9</v>
      </c>
      <c r="E20" s="13">
        <v>337.90000000000003</v>
      </c>
      <c r="F20" s="92">
        <f t="shared" si="0"/>
        <v>61152.466200000003</v>
      </c>
      <c r="G20" s="44">
        <f t="shared" si="2"/>
        <v>624764.41200000001</v>
      </c>
      <c r="H20" s="32">
        <v>490000</v>
      </c>
      <c r="I20" s="33">
        <f t="shared" si="1"/>
        <v>134764.41200000001</v>
      </c>
      <c r="M20" s="70"/>
      <c r="T20" s="76"/>
      <c r="U20" s="40"/>
    </row>
    <row r="21" spans="1:21" x14ac:dyDescent="0.25">
      <c r="A21" s="4">
        <v>44044</v>
      </c>
      <c r="B21" s="13">
        <v>17.5</v>
      </c>
      <c r="C21" s="50">
        <f>AVERAGE(B21,B10:B20)</f>
        <v>17.5</v>
      </c>
      <c r="D21" s="12">
        <v>11.2</v>
      </c>
      <c r="E21" s="13">
        <v>347.2</v>
      </c>
      <c r="F21" s="92">
        <f t="shared" si="0"/>
        <v>50673.84</v>
      </c>
      <c r="G21" s="44">
        <f t="shared" si="2"/>
        <v>600756.38760000002</v>
      </c>
      <c r="H21" s="32">
        <v>490000</v>
      </c>
      <c r="I21" s="33">
        <f t="shared" si="1"/>
        <v>110756.38760000002</v>
      </c>
      <c r="T21" s="76"/>
      <c r="U21" s="40"/>
    </row>
    <row r="22" spans="1:21" x14ac:dyDescent="0.25">
      <c r="A22" s="4">
        <v>44075</v>
      </c>
      <c r="B22" s="13">
        <v>16.5</v>
      </c>
      <c r="C22" s="50">
        <f>AVERAGE(B22,B21,B20,B11:B19)</f>
        <v>17.416666666666668</v>
      </c>
      <c r="D22" s="12">
        <v>11.7</v>
      </c>
      <c r="E22" s="13">
        <v>351</v>
      </c>
      <c r="F22" s="92">
        <f t="shared" si="0"/>
        <v>48301.11</v>
      </c>
      <c r="G22" s="44">
        <f t="shared" si="2"/>
        <v>596077.64760000003</v>
      </c>
      <c r="H22" s="32">
        <v>490000</v>
      </c>
      <c r="I22" s="33">
        <f t="shared" si="1"/>
        <v>106077.64760000003</v>
      </c>
      <c r="T22" s="76"/>
      <c r="U22" s="40"/>
    </row>
    <row r="23" spans="1:21" x14ac:dyDescent="0.25">
      <c r="A23" s="4">
        <v>44105</v>
      </c>
      <c r="B23" s="13">
        <v>15.8</v>
      </c>
      <c r="C23" s="50">
        <f>AVERAGE(B23,B12:B22)</f>
        <v>17.541666666666664</v>
      </c>
      <c r="D23" s="12">
        <v>12.1</v>
      </c>
      <c r="E23" s="13">
        <v>375.09999999999997</v>
      </c>
      <c r="F23" s="92">
        <f t="shared" si="0"/>
        <v>49427.677199999998</v>
      </c>
      <c r="G23" s="44">
        <f t="shared" si="2"/>
        <v>601879.28520000004</v>
      </c>
      <c r="H23" s="32">
        <v>490000</v>
      </c>
      <c r="I23" s="33">
        <f t="shared" si="1"/>
        <v>111879.28520000004</v>
      </c>
      <c r="T23" s="76"/>
      <c r="U23" s="40"/>
    </row>
    <row r="24" spans="1:21" ht="15.75" thickBot="1" x14ac:dyDescent="0.3">
      <c r="A24" s="4">
        <v>44136</v>
      </c>
      <c r="B24" s="13">
        <v>13.2</v>
      </c>
      <c r="C24" s="50">
        <f>AVERAGE(B24,B13:B23)</f>
        <v>17.541666666666668</v>
      </c>
      <c r="D24" s="12">
        <v>9.6999999999999993</v>
      </c>
      <c r="E24" s="13">
        <v>291</v>
      </c>
      <c r="F24" s="92">
        <f t="shared" si="0"/>
        <v>32035.607999999997</v>
      </c>
      <c r="G24" s="44">
        <f t="shared" si="2"/>
        <v>598246.38120000006</v>
      </c>
      <c r="H24" s="32">
        <v>490000</v>
      </c>
      <c r="I24" s="41">
        <f t="shared" si="1"/>
        <v>108246.38120000006</v>
      </c>
      <c r="T24" s="76"/>
      <c r="U24" s="40"/>
    </row>
    <row r="25" spans="1:21" ht="15.75" thickBot="1" x14ac:dyDescent="0.3">
      <c r="A25" s="4">
        <v>44166</v>
      </c>
      <c r="B25" s="13">
        <v>12.8</v>
      </c>
      <c r="C25" s="50">
        <f>AVERAGE(B25,B14:B24)</f>
        <v>17.649999999999999</v>
      </c>
      <c r="D25" s="12">
        <v>10.5</v>
      </c>
      <c r="E25" s="13">
        <v>325.5</v>
      </c>
      <c r="F25" s="92">
        <f t="shared" si="0"/>
        <v>34747.776000000005</v>
      </c>
      <c r="G25" s="54">
        <f t="shared" si="2"/>
        <v>598802.24219999998</v>
      </c>
      <c r="H25" s="32">
        <v>445000</v>
      </c>
      <c r="I25" s="43">
        <f t="shared" si="1"/>
        <v>153802.24219999998</v>
      </c>
      <c r="T25" s="76"/>
      <c r="U25" s="40"/>
    </row>
    <row r="26" spans="1:21" x14ac:dyDescent="0.25">
      <c r="A26" s="4">
        <v>44197</v>
      </c>
      <c r="B26" s="18">
        <v>13.1</v>
      </c>
      <c r="C26" s="53">
        <f t="shared" ref="C26:C37" si="3">AVERAGE(B15:B26)</f>
        <v>16.966666666666665</v>
      </c>
      <c r="D26" s="12">
        <v>10.7</v>
      </c>
      <c r="E26" s="13">
        <v>331.7</v>
      </c>
      <c r="F26" s="92">
        <f t="shared" si="0"/>
        <v>36239.551799999994</v>
      </c>
      <c r="G26" s="50">
        <f t="shared" si="2"/>
        <v>581074.1544</v>
      </c>
      <c r="H26" s="32">
        <v>445000</v>
      </c>
      <c r="I26" s="42">
        <f t="shared" si="1"/>
        <v>136074.1544</v>
      </c>
      <c r="T26" s="76"/>
      <c r="U26" s="40"/>
    </row>
    <row r="27" spans="1:21" x14ac:dyDescent="0.25">
      <c r="A27" s="4">
        <v>44228</v>
      </c>
      <c r="B27" s="18">
        <v>15.6</v>
      </c>
      <c r="C27" s="50">
        <f t="shared" si="3"/>
        <v>16.641666666666666</v>
      </c>
      <c r="D27" s="12">
        <v>10.9</v>
      </c>
      <c r="E27" s="13">
        <v>305.2</v>
      </c>
      <c r="F27" s="92">
        <f t="shared" si="0"/>
        <v>39707.7408</v>
      </c>
      <c r="G27" s="50">
        <f t="shared" si="2"/>
        <v>574334.7672</v>
      </c>
      <c r="H27" s="32">
        <v>445000</v>
      </c>
      <c r="I27" s="33">
        <f t="shared" si="1"/>
        <v>129334.7672</v>
      </c>
      <c r="K27" s="70"/>
      <c r="T27" s="76"/>
      <c r="U27" s="40"/>
    </row>
    <row r="28" spans="1:21" x14ac:dyDescent="0.25">
      <c r="A28" s="4">
        <v>44256</v>
      </c>
      <c r="B28" s="18">
        <v>19.8</v>
      </c>
      <c r="C28" s="50">
        <f t="shared" si="3"/>
        <v>16.808333333333334</v>
      </c>
      <c r="D28" s="12">
        <v>11.8</v>
      </c>
      <c r="E28" s="13">
        <v>365.8</v>
      </c>
      <c r="F28" s="92">
        <f t="shared" si="0"/>
        <v>60405.285600000003</v>
      </c>
      <c r="G28" s="50">
        <f t="shared" si="2"/>
        <v>585038.32319999998</v>
      </c>
      <c r="H28" s="32">
        <v>445000</v>
      </c>
      <c r="I28" s="33">
        <f t="shared" si="1"/>
        <v>140038.32319999998</v>
      </c>
      <c r="T28" s="76"/>
      <c r="U28" s="40"/>
    </row>
    <row r="29" spans="1:21" x14ac:dyDescent="0.25">
      <c r="A29" s="4">
        <v>44287</v>
      </c>
      <c r="B29" s="18">
        <v>20.5</v>
      </c>
      <c r="C29" s="50">
        <f t="shared" si="3"/>
        <v>16.783333333333335</v>
      </c>
      <c r="D29" s="12">
        <v>12.3</v>
      </c>
      <c r="E29" s="13">
        <v>369</v>
      </c>
      <c r="F29" s="92">
        <f t="shared" si="0"/>
        <v>63087.93</v>
      </c>
      <c r="G29" s="50">
        <f t="shared" si="2"/>
        <v>589839.66120000009</v>
      </c>
      <c r="H29" s="32">
        <v>445000</v>
      </c>
      <c r="I29" s="33">
        <f t="shared" si="1"/>
        <v>144839.66120000009</v>
      </c>
      <c r="T29" s="76"/>
      <c r="U29" s="40"/>
    </row>
    <row r="30" spans="1:21" x14ac:dyDescent="0.25">
      <c r="A30" s="4">
        <v>44317</v>
      </c>
      <c r="B30" s="18">
        <v>24.9</v>
      </c>
      <c r="C30" s="53">
        <f t="shared" si="3"/>
        <v>17.491666666666667</v>
      </c>
      <c r="D30" s="12">
        <v>13.4</v>
      </c>
      <c r="E30" s="13">
        <v>415.40000000000003</v>
      </c>
      <c r="F30" s="92">
        <f t="shared" si="0"/>
        <v>86264.45640000001</v>
      </c>
      <c r="G30" s="53">
        <f t="shared" si="2"/>
        <v>622679.41200000001</v>
      </c>
      <c r="H30" s="32">
        <v>445000</v>
      </c>
      <c r="I30" s="34">
        <f t="shared" si="1"/>
        <v>177679.41200000001</v>
      </c>
      <c r="T30" s="76"/>
      <c r="U30" s="40"/>
    </row>
    <row r="31" spans="1:21" x14ac:dyDescent="0.25">
      <c r="A31" s="4">
        <v>44348</v>
      </c>
      <c r="B31" s="18">
        <v>23.8</v>
      </c>
      <c r="C31" s="53">
        <f t="shared" si="3"/>
        <v>17.933333333333334</v>
      </c>
      <c r="D31" s="12">
        <v>12.5</v>
      </c>
      <c r="E31" s="13">
        <v>375</v>
      </c>
      <c r="F31" s="92">
        <f t="shared" si="0"/>
        <v>74434.5</v>
      </c>
      <c r="G31" s="53">
        <f t="shared" si="2"/>
        <v>636477.94200000004</v>
      </c>
      <c r="H31" s="32">
        <v>445000</v>
      </c>
      <c r="I31" s="34">
        <f t="shared" si="1"/>
        <v>191477.94200000004</v>
      </c>
      <c r="T31" s="76"/>
      <c r="U31" s="40"/>
    </row>
    <row r="32" spans="1:21" x14ac:dyDescent="0.25">
      <c r="A32" s="4">
        <v>44378</v>
      </c>
      <c r="B32" s="18">
        <v>17.8</v>
      </c>
      <c r="C32" s="53">
        <f t="shared" si="3"/>
        <v>17.608333333333334</v>
      </c>
      <c r="D32" s="12">
        <v>11.5</v>
      </c>
      <c r="E32" s="13">
        <v>356.5</v>
      </c>
      <c r="F32" s="92">
        <f t="shared" si="0"/>
        <v>52923.137999999999</v>
      </c>
      <c r="G32" s="53">
        <f t="shared" si="2"/>
        <v>628248.61380000005</v>
      </c>
      <c r="H32" s="32">
        <v>445000</v>
      </c>
      <c r="I32" s="34">
        <f t="shared" si="1"/>
        <v>183248.61380000005</v>
      </c>
      <c r="T32" s="76"/>
      <c r="U32" s="40"/>
    </row>
    <row r="33" spans="1:21" x14ac:dyDescent="0.25">
      <c r="A33" s="4">
        <v>44409</v>
      </c>
      <c r="B33" s="18">
        <v>17.600000000000001</v>
      </c>
      <c r="C33" s="53">
        <f t="shared" si="3"/>
        <v>17.616666666666667</v>
      </c>
      <c r="D33" s="12">
        <v>10.8</v>
      </c>
      <c r="E33" s="13">
        <v>334.8</v>
      </c>
      <c r="F33" s="92">
        <f t="shared" si="0"/>
        <v>49143.283200000005</v>
      </c>
      <c r="G33" s="53">
        <f t="shared" si="2"/>
        <v>626718.05700000003</v>
      </c>
      <c r="H33" s="32">
        <v>445000</v>
      </c>
      <c r="I33" s="34">
        <f t="shared" si="1"/>
        <v>181718.05700000003</v>
      </c>
      <c r="T33" s="76"/>
      <c r="U33" s="40"/>
    </row>
    <row r="34" spans="1:21" x14ac:dyDescent="0.25">
      <c r="A34" s="4">
        <v>44440</v>
      </c>
      <c r="B34" s="18">
        <v>14.3</v>
      </c>
      <c r="C34" s="53">
        <f t="shared" si="3"/>
        <v>17.433333333333334</v>
      </c>
      <c r="D34" s="12">
        <v>10.3</v>
      </c>
      <c r="E34" s="13">
        <v>309</v>
      </c>
      <c r="F34" s="92">
        <f t="shared" si="0"/>
        <v>36851.957999999999</v>
      </c>
      <c r="G34" s="53">
        <f t="shared" si="2"/>
        <v>615268.90499999991</v>
      </c>
      <c r="H34" s="32">
        <v>445000</v>
      </c>
      <c r="I34" s="33">
        <f t="shared" si="1"/>
        <v>170268.90499999991</v>
      </c>
      <c r="T34" s="76"/>
      <c r="U34" s="40"/>
    </row>
    <row r="35" spans="1:21" x14ac:dyDescent="0.25">
      <c r="A35" s="4">
        <v>44470</v>
      </c>
      <c r="B35" s="18">
        <v>15.4</v>
      </c>
      <c r="C35" s="53">
        <f t="shared" si="3"/>
        <v>17.400000000000002</v>
      </c>
      <c r="D35" s="12">
        <v>11.2</v>
      </c>
      <c r="E35" s="13">
        <v>347.2</v>
      </c>
      <c r="F35" s="92">
        <f t="shared" si="0"/>
        <v>44592.979200000002</v>
      </c>
      <c r="G35" s="53">
        <f t="shared" si="2"/>
        <v>610434.20699999994</v>
      </c>
      <c r="H35" s="32">
        <v>445000</v>
      </c>
      <c r="I35" s="33">
        <f t="shared" si="1"/>
        <v>165434.20699999994</v>
      </c>
      <c r="N35" s="70"/>
      <c r="T35" s="76"/>
      <c r="U35" s="40"/>
    </row>
    <row r="36" spans="1:21" ht="15.75" thickBot="1" x14ac:dyDescent="0.3">
      <c r="A36" s="4">
        <v>44501</v>
      </c>
      <c r="B36" s="18">
        <v>13.5</v>
      </c>
      <c r="C36" s="53">
        <f t="shared" si="3"/>
        <v>17.425000000000001</v>
      </c>
      <c r="D36" s="12">
        <v>11.2</v>
      </c>
      <c r="E36" s="13">
        <v>336</v>
      </c>
      <c r="F36" s="92">
        <f t="shared" si="0"/>
        <v>37830.239999999998</v>
      </c>
      <c r="G36" s="53">
        <f t="shared" si="2"/>
        <v>616228.83899999992</v>
      </c>
      <c r="H36" s="32">
        <v>445000</v>
      </c>
      <c r="I36" s="41">
        <f t="shared" si="1"/>
        <v>171228.83899999992</v>
      </c>
      <c r="N36" s="68"/>
      <c r="O36" s="68"/>
      <c r="P36" s="68"/>
      <c r="Q36" s="69"/>
      <c r="R36" s="69"/>
      <c r="S36" s="69"/>
      <c r="T36" s="76"/>
      <c r="U36" s="40"/>
    </row>
    <row r="37" spans="1:21" ht="15.75" thickBot="1" x14ac:dyDescent="0.3">
      <c r="A37" s="4">
        <v>44531</v>
      </c>
      <c r="B37" s="18">
        <v>11.8</v>
      </c>
      <c r="C37" s="53">
        <f t="shared" si="3"/>
        <v>17.341666666666669</v>
      </c>
      <c r="D37" s="12">
        <v>10.199999999999999</v>
      </c>
      <c r="E37" s="13">
        <v>316.2</v>
      </c>
      <c r="F37" s="92">
        <f t="shared" si="0"/>
        <v>31117.874400000001</v>
      </c>
      <c r="G37" s="56">
        <f t="shared" si="2"/>
        <v>612598.93739999994</v>
      </c>
      <c r="H37" s="55">
        <v>460000</v>
      </c>
      <c r="I37" s="43">
        <f t="shared" si="1"/>
        <v>152598.93739999994</v>
      </c>
      <c r="N37" s="69"/>
      <c r="O37" s="69"/>
      <c r="P37" s="69"/>
      <c r="Q37" s="69"/>
      <c r="R37" s="69"/>
      <c r="S37" s="69"/>
      <c r="T37" s="76"/>
      <c r="U37" s="40"/>
    </row>
    <row r="38" spans="1:21" x14ac:dyDescent="0.25">
      <c r="A38" s="29"/>
      <c r="L38" s="40"/>
      <c r="T38" s="76"/>
      <c r="U38" s="40"/>
    </row>
    <row r="39" spans="1:21" x14ac:dyDescent="0.25">
      <c r="G39" t="s">
        <v>11</v>
      </c>
      <c r="I39" s="40">
        <f>AVERAGE(G13,G25,G37)</f>
        <v>617256.77179999999</v>
      </c>
      <c r="T39" s="76"/>
      <c r="U39" s="40"/>
    </row>
    <row r="40" spans="1:21" ht="15.75" thickBot="1" x14ac:dyDescent="0.3"/>
    <row r="41" spans="1:21" ht="15.75" thickBot="1" x14ac:dyDescent="0.3">
      <c r="A41" s="1"/>
      <c r="B41" s="1"/>
      <c r="C41" s="1"/>
      <c r="D41" s="1"/>
      <c r="E41" s="102" t="s">
        <v>35</v>
      </c>
      <c r="F41" s="101"/>
      <c r="G41" s="101"/>
      <c r="H41" s="101"/>
      <c r="I41" s="67">
        <f>I39*0.25</f>
        <v>154314.19295</v>
      </c>
    </row>
    <row r="42" spans="1:21" x14ac:dyDescent="0.25">
      <c r="A42" t="s">
        <v>5</v>
      </c>
    </row>
    <row r="43" spans="1:21" x14ac:dyDescent="0.25">
      <c r="A43" t="s">
        <v>1</v>
      </c>
    </row>
    <row r="44" spans="1:21" x14ac:dyDescent="0.25">
      <c r="A44" t="s">
        <v>3</v>
      </c>
    </row>
    <row r="46" spans="1:21" x14ac:dyDescent="0.25">
      <c r="A46" s="2" t="s">
        <v>36</v>
      </c>
    </row>
  </sheetData>
  <mergeCells count="1">
    <mergeCell ref="E41:H41"/>
  </mergeCells>
  <conditionalFormatting sqref="I2:I12 I40:I1048576 I14:I24 I26:I36 I38">
    <cfRule type="cellIs" dxfId="11" priority="5" operator="lessThan">
      <formula>$I$41</formula>
    </cfRule>
    <cfRule type="cellIs" dxfId="10" priority="6" operator="greaterThan">
      <formula>$I$41</formula>
    </cfRule>
  </conditionalFormatting>
  <conditionalFormatting sqref="I25">
    <cfRule type="cellIs" dxfId="9" priority="2" operator="lessThan">
      <formula>$I$41</formula>
    </cfRule>
    <cfRule type="cellIs" dxfId="8" priority="4" operator="greaterThan">
      <formula>$I$41</formula>
    </cfRule>
  </conditionalFormatting>
  <conditionalFormatting sqref="I37">
    <cfRule type="cellIs" dxfId="7" priority="1" operator="lessThan">
      <formula>$I$41</formula>
    </cfRule>
    <cfRule type="cellIs" dxfId="6" priority="3" operator="greaterThan">
      <formula>$I$41</formula>
    </cfRule>
  </conditionalFormatting>
  <pageMargins left="0.25" right="0.25" top="0.75" bottom="0.75" header="0.3" footer="0.3"/>
  <pageSetup orientation="portrait" horizontalDpi="1200" verticalDpi="1200" r:id="rId1"/>
  <headerFooter>
    <oddHeader>&amp;L&amp;"-,Bold"&amp;14Phosphorus Limits using Credits</oddHeader>
  </headerFooter>
  <ignoredErrors>
    <ignoredError sqref="C14:C17 C19:C25" formula="1"/>
    <ignoredError sqref="C18 C26:C37" formula="1"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6"/>
  <sheetViews>
    <sheetView topLeftCell="A2" workbookViewId="0">
      <selection activeCell="K37" sqref="K37"/>
    </sheetView>
  </sheetViews>
  <sheetFormatPr defaultRowHeight="15" x14ac:dyDescent="0.25"/>
  <cols>
    <col min="1" max="1" width="8.28515625" customWidth="1"/>
    <col min="2" max="2" width="12.7109375" bestFit="1" customWidth="1"/>
    <col min="3" max="3" width="9.140625" bestFit="1" customWidth="1"/>
    <col min="4" max="4" width="8.5703125" customWidth="1"/>
    <col min="5" max="5" width="8.140625" customWidth="1"/>
    <col min="6" max="6" width="10.28515625" bestFit="1" customWidth="1"/>
    <col min="7" max="7" width="13.85546875" customWidth="1"/>
    <col min="8" max="8" width="12" bestFit="1" customWidth="1"/>
    <col min="9" max="9" width="14.85546875" customWidth="1"/>
    <col min="10" max="10" width="9.85546875" style="76" bestFit="1" customWidth="1"/>
    <col min="11" max="11" width="11.5703125" style="76" bestFit="1" customWidth="1"/>
    <col min="12" max="12" width="11.7109375" bestFit="1" customWidth="1"/>
    <col min="13" max="14" width="11.5703125" bestFit="1" customWidth="1"/>
    <col min="20" max="20" width="11.5703125" bestFit="1" customWidth="1"/>
    <col min="21" max="21" width="10.140625" bestFit="1" customWidth="1"/>
  </cols>
  <sheetData>
    <row r="1" spans="1:21" s="80" customFormat="1" ht="75.75" thickBot="1" x14ac:dyDescent="0.3">
      <c r="A1" s="79"/>
      <c r="B1" s="73" t="s">
        <v>25</v>
      </c>
      <c r="C1" s="71" t="s">
        <v>27</v>
      </c>
      <c r="D1" s="72" t="s">
        <v>24</v>
      </c>
      <c r="E1" s="72" t="s">
        <v>4</v>
      </c>
      <c r="F1" s="72" t="s">
        <v>0</v>
      </c>
      <c r="G1" s="72" t="s">
        <v>21</v>
      </c>
      <c r="H1" s="72" t="s">
        <v>22</v>
      </c>
      <c r="I1" s="74" t="s">
        <v>23</v>
      </c>
      <c r="J1" s="81" t="s">
        <v>28</v>
      </c>
      <c r="K1" s="81" t="s">
        <v>29</v>
      </c>
    </row>
    <row r="2" spans="1:21" x14ac:dyDescent="0.25">
      <c r="A2" s="6">
        <v>43466</v>
      </c>
      <c r="B2" s="12">
        <v>22</v>
      </c>
      <c r="C2" s="7"/>
      <c r="D2" s="12">
        <v>10.199999999999999</v>
      </c>
      <c r="E2" s="12">
        <v>31</v>
      </c>
      <c r="F2" s="51">
        <f>B2*D2*E2*8.34</f>
        <v>58016.375999999997</v>
      </c>
      <c r="G2" s="7"/>
      <c r="H2" s="7"/>
      <c r="I2" s="7"/>
      <c r="J2" s="76">
        <f>D2*8.3*E2</f>
        <v>2624.46</v>
      </c>
    </row>
    <row r="3" spans="1:21" x14ac:dyDescent="0.25">
      <c r="A3" s="4">
        <v>43497</v>
      </c>
      <c r="B3" s="13">
        <v>21.5</v>
      </c>
      <c r="C3" s="5"/>
      <c r="D3" s="12">
        <v>10.5</v>
      </c>
      <c r="E3" s="13">
        <v>28</v>
      </c>
      <c r="F3" s="50">
        <f t="shared" ref="F3:F37" si="0">B3*D3*E3*8.34</f>
        <v>52717.14</v>
      </c>
      <c r="G3" s="5"/>
      <c r="H3" s="5"/>
      <c r="I3" s="5"/>
      <c r="J3" s="82">
        <f t="shared" ref="J3:J37" si="1">D3*8.3*E3</f>
        <v>2440.2000000000003</v>
      </c>
    </row>
    <row r="4" spans="1:21" x14ac:dyDescent="0.25">
      <c r="A4" s="4">
        <v>43525</v>
      </c>
      <c r="B4" s="13">
        <v>19.7</v>
      </c>
      <c r="C4" s="5"/>
      <c r="D4" s="12">
        <v>10.3</v>
      </c>
      <c r="E4" s="13">
        <v>31</v>
      </c>
      <c r="F4" s="50">
        <f t="shared" si="0"/>
        <v>52460.3514</v>
      </c>
      <c r="G4" s="5"/>
      <c r="H4" s="5"/>
      <c r="I4" s="5"/>
      <c r="J4" s="76">
        <f t="shared" si="1"/>
        <v>2650.1900000000005</v>
      </c>
    </row>
    <row r="5" spans="1:21" x14ac:dyDescent="0.25">
      <c r="A5" s="4">
        <v>43556</v>
      </c>
      <c r="B5" s="13">
        <v>17.5</v>
      </c>
      <c r="C5" s="5"/>
      <c r="D5" s="12">
        <v>10.7</v>
      </c>
      <c r="E5" s="13">
        <v>30</v>
      </c>
      <c r="F5" s="50">
        <f t="shared" si="0"/>
        <v>46849.95</v>
      </c>
      <c r="G5" s="5"/>
      <c r="H5" s="5"/>
      <c r="I5" s="5"/>
      <c r="J5" s="76">
        <f t="shared" si="1"/>
        <v>2664.3</v>
      </c>
    </row>
    <row r="6" spans="1:21" x14ac:dyDescent="0.25">
      <c r="A6" s="4">
        <v>43586</v>
      </c>
      <c r="B6" s="13">
        <v>22.1</v>
      </c>
      <c r="C6" s="5"/>
      <c r="D6" s="12">
        <v>11.1</v>
      </c>
      <c r="E6" s="13">
        <v>31</v>
      </c>
      <c r="F6" s="50">
        <f t="shared" si="0"/>
        <v>63422.447399999997</v>
      </c>
      <c r="G6" s="5"/>
      <c r="H6" s="5"/>
      <c r="I6" s="5"/>
      <c r="J6" s="76">
        <f t="shared" si="1"/>
        <v>2856.03</v>
      </c>
    </row>
    <row r="7" spans="1:21" x14ac:dyDescent="0.25">
      <c r="A7" s="4">
        <v>43617</v>
      </c>
      <c r="B7" s="13">
        <v>18.5</v>
      </c>
      <c r="C7" s="5"/>
      <c r="D7" s="12">
        <v>13.4</v>
      </c>
      <c r="E7" s="13">
        <v>30</v>
      </c>
      <c r="F7" s="50">
        <f t="shared" si="0"/>
        <v>62024.58</v>
      </c>
      <c r="G7" s="5"/>
      <c r="H7" s="5"/>
      <c r="I7" s="5"/>
      <c r="J7" s="76">
        <f t="shared" si="1"/>
        <v>3336.6000000000004</v>
      </c>
    </row>
    <row r="8" spans="1:21" x14ac:dyDescent="0.25">
      <c r="A8" s="4">
        <v>43647</v>
      </c>
      <c r="B8" s="13">
        <v>17</v>
      </c>
      <c r="C8" s="5"/>
      <c r="D8" s="12">
        <v>14.5</v>
      </c>
      <c r="E8" s="13">
        <v>31</v>
      </c>
      <c r="F8" s="50">
        <f t="shared" si="0"/>
        <v>63730.11</v>
      </c>
      <c r="G8" s="5"/>
      <c r="H8" s="5"/>
      <c r="I8" s="5"/>
      <c r="J8" s="76">
        <f t="shared" si="1"/>
        <v>3730.8500000000004</v>
      </c>
    </row>
    <row r="9" spans="1:21" x14ac:dyDescent="0.25">
      <c r="A9" s="4">
        <v>43678</v>
      </c>
      <c r="B9" s="13">
        <v>20.2</v>
      </c>
      <c r="C9" s="5"/>
      <c r="D9" s="12">
        <v>14.3</v>
      </c>
      <c r="E9" s="13">
        <v>31</v>
      </c>
      <c r="F9" s="50">
        <f t="shared" si="0"/>
        <v>74681.864399999991</v>
      </c>
      <c r="G9" s="5"/>
      <c r="H9" s="5"/>
      <c r="I9" s="5"/>
      <c r="J9" s="76">
        <f t="shared" si="1"/>
        <v>3679.3900000000003</v>
      </c>
    </row>
    <row r="10" spans="1:21" x14ac:dyDescent="0.25">
      <c r="A10" s="4">
        <v>43709</v>
      </c>
      <c r="B10" s="13">
        <v>17.5</v>
      </c>
      <c r="C10" s="5"/>
      <c r="D10" s="12">
        <v>12.1</v>
      </c>
      <c r="E10" s="13">
        <v>30</v>
      </c>
      <c r="F10" s="50">
        <f t="shared" si="0"/>
        <v>52979.85</v>
      </c>
      <c r="G10" s="5"/>
      <c r="H10" s="5"/>
      <c r="I10" s="5"/>
      <c r="J10" s="76">
        <f t="shared" si="1"/>
        <v>3012.9</v>
      </c>
    </row>
    <row r="11" spans="1:21" x14ac:dyDescent="0.25">
      <c r="A11" s="4">
        <v>43739</v>
      </c>
      <c r="B11" s="13">
        <v>14.3</v>
      </c>
      <c r="C11" s="5"/>
      <c r="D11" s="12">
        <v>11.8</v>
      </c>
      <c r="E11" s="13">
        <v>31</v>
      </c>
      <c r="F11" s="50">
        <f t="shared" si="0"/>
        <v>43626.039600000004</v>
      </c>
      <c r="G11" s="5"/>
      <c r="H11" s="5"/>
      <c r="I11" s="5"/>
      <c r="J11" s="76">
        <f t="shared" si="1"/>
        <v>3036.1400000000003</v>
      </c>
    </row>
    <row r="12" spans="1:21" x14ac:dyDescent="0.25">
      <c r="A12" s="4">
        <v>43770</v>
      </c>
      <c r="B12" s="13">
        <v>13.2</v>
      </c>
      <c r="C12" s="5"/>
      <c r="D12" s="12">
        <v>10.8</v>
      </c>
      <c r="E12" s="13">
        <v>30</v>
      </c>
      <c r="F12" s="50">
        <f t="shared" si="0"/>
        <v>35668.512000000002</v>
      </c>
      <c r="G12" s="5"/>
      <c r="H12" s="5"/>
      <c r="I12" s="5"/>
      <c r="J12" s="76">
        <f t="shared" si="1"/>
        <v>2689.2000000000003</v>
      </c>
    </row>
    <row r="13" spans="1:21" x14ac:dyDescent="0.25">
      <c r="A13" s="4">
        <v>43800</v>
      </c>
      <c r="B13" s="13">
        <v>11.5</v>
      </c>
      <c r="C13" s="50">
        <f>AVERAGE(B13,B2:B12)</f>
        <v>17.916666666666668</v>
      </c>
      <c r="D13" s="12">
        <v>11.5</v>
      </c>
      <c r="E13" s="13">
        <v>31</v>
      </c>
      <c r="F13" s="50">
        <f t="shared" si="0"/>
        <v>34191.915000000001</v>
      </c>
      <c r="G13" s="35">
        <f>SUM(F2:F13)</f>
        <v>640369.13580000005</v>
      </c>
      <c r="H13" s="61">
        <v>490000</v>
      </c>
      <c r="I13" s="35">
        <f>G13-H14</f>
        <v>150369.13580000005</v>
      </c>
      <c r="J13" s="76">
        <f t="shared" si="1"/>
        <v>2958.9500000000003</v>
      </c>
      <c r="K13" s="76">
        <f>SUM(J2:J13)</f>
        <v>35679.210000000006</v>
      </c>
    </row>
    <row r="14" spans="1:21" x14ac:dyDescent="0.25">
      <c r="A14" s="4">
        <v>43831</v>
      </c>
      <c r="B14" s="13">
        <v>21.3</v>
      </c>
      <c r="C14" s="50">
        <f>AVERAGE(B14,B11:B12,B13,B3:B10)</f>
        <v>17.858333333333331</v>
      </c>
      <c r="D14" s="12">
        <v>9.8000000000000007</v>
      </c>
      <c r="E14" s="13">
        <v>31</v>
      </c>
      <c r="F14" s="50">
        <f t="shared" si="0"/>
        <v>53967.639600000002</v>
      </c>
      <c r="G14" s="44">
        <f t="shared" ref="G14:G37" si="2">SUM(F3:F14)</f>
        <v>636320.39939999999</v>
      </c>
      <c r="H14" s="32">
        <v>490000</v>
      </c>
      <c r="I14" s="33">
        <f>G14-H14</f>
        <v>146320.39939999999</v>
      </c>
      <c r="J14" s="76">
        <f t="shared" si="1"/>
        <v>2521.5400000000004</v>
      </c>
      <c r="K14" s="76">
        <f t="shared" ref="K14:K36" si="3">SUM(J3:J14)</f>
        <v>35576.29</v>
      </c>
    </row>
    <row r="15" spans="1:21" x14ac:dyDescent="0.25">
      <c r="A15" s="4">
        <v>43862</v>
      </c>
      <c r="B15" s="13">
        <v>19.5</v>
      </c>
      <c r="C15" s="50">
        <f>AVERAGE(B15,B4:B14)</f>
        <v>17.691666666666666</v>
      </c>
      <c r="D15" s="12">
        <v>10.199999999999999</v>
      </c>
      <c r="E15" s="13">
        <v>28</v>
      </c>
      <c r="F15" s="50">
        <f t="shared" si="0"/>
        <v>46447.12799999999</v>
      </c>
      <c r="G15" s="44">
        <f t="shared" si="2"/>
        <v>630050.38740000001</v>
      </c>
      <c r="H15" s="32">
        <v>490000</v>
      </c>
      <c r="I15" s="33">
        <f t="shared" ref="I15:I37" si="4">G15-H15</f>
        <v>140050.38740000001</v>
      </c>
      <c r="J15" s="76">
        <f t="shared" si="1"/>
        <v>2370.48</v>
      </c>
      <c r="K15" s="76">
        <f t="shared" si="3"/>
        <v>35506.570000000007</v>
      </c>
      <c r="T15" s="76"/>
      <c r="U15" s="40"/>
    </row>
    <row r="16" spans="1:21" x14ac:dyDescent="0.25">
      <c r="A16" s="4">
        <v>43891</v>
      </c>
      <c r="B16" s="13">
        <v>17.8</v>
      </c>
      <c r="C16" s="50">
        <f>AVERAGE(B16,B5:B15)</f>
        <v>17.533333333333335</v>
      </c>
      <c r="D16" s="12">
        <v>10.8</v>
      </c>
      <c r="E16" s="13">
        <v>31</v>
      </c>
      <c r="F16" s="50">
        <f t="shared" si="0"/>
        <v>49701.729600000006</v>
      </c>
      <c r="G16" s="44">
        <f t="shared" si="2"/>
        <v>627291.76559999993</v>
      </c>
      <c r="H16" s="32">
        <v>490000</v>
      </c>
      <c r="I16" s="33">
        <f t="shared" si="4"/>
        <v>137291.76559999993</v>
      </c>
      <c r="J16" s="76">
        <f t="shared" si="1"/>
        <v>2778.8400000000006</v>
      </c>
      <c r="K16" s="76">
        <f t="shared" si="3"/>
        <v>35635.220000000008</v>
      </c>
      <c r="T16" s="76"/>
      <c r="U16" s="40"/>
    </row>
    <row r="17" spans="1:21" x14ac:dyDescent="0.25">
      <c r="A17" s="4">
        <v>43922</v>
      </c>
      <c r="B17" s="13">
        <v>20.8</v>
      </c>
      <c r="C17" s="50">
        <f>AVERAGE(B17,B6:B16)</f>
        <v>17.808333333333334</v>
      </c>
      <c r="D17" s="12">
        <v>11.2</v>
      </c>
      <c r="E17" s="13">
        <v>30</v>
      </c>
      <c r="F17" s="50">
        <f t="shared" si="0"/>
        <v>58286.59199999999</v>
      </c>
      <c r="G17" s="44">
        <f t="shared" si="2"/>
        <v>638728.4075999998</v>
      </c>
      <c r="H17" s="32">
        <v>490000</v>
      </c>
      <c r="I17" s="33">
        <f t="shared" si="4"/>
        <v>148728.4075999998</v>
      </c>
      <c r="J17" s="76">
        <f t="shared" si="1"/>
        <v>2788.8</v>
      </c>
      <c r="K17" s="76">
        <f t="shared" si="3"/>
        <v>35759.720000000008</v>
      </c>
      <c r="T17" s="76"/>
      <c r="U17" s="40"/>
    </row>
    <row r="18" spans="1:21" x14ac:dyDescent="0.25">
      <c r="A18" s="4">
        <v>43952</v>
      </c>
      <c r="B18" s="13">
        <v>16.399999999999999</v>
      </c>
      <c r="C18" s="50">
        <f>AVERAGE(B7:B18)</f>
        <v>17.333333333333336</v>
      </c>
      <c r="D18" s="12">
        <v>12.6</v>
      </c>
      <c r="E18" s="13">
        <v>31</v>
      </c>
      <c r="F18" s="50">
        <f t="shared" si="0"/>
        <v>53424.705599999994</v>
      </c>
      <c r="G18" s="44">
        <f t="shared" si="2"/>
        <v>628730.66579999996</v>
      </c>
      <c r="H18" s="32">
        <v>490000</v>
      </c>
      <c r="I18" s="33">
        <f t="shared" si="4"/>
        <v>138730.66579999996</v>
      </c>
      <c r="J18" s="76">
        <f t="shared" si="1"/>
        <v>3241.9800000000005</v>
      </c>
      <c r="K18" s="76">
        <f t="shared" si="3"/>
        <v>36145.670000000006</v>
      </c>
      <c r="T18" s="76"/>
      <c r="U18" s="40"/>
    </row>
    <row r="19" spans="1:21" x14ac:dyDescent="0.25">
      <c r="A19" s="4">
        <v>43983</v>
      </c>
      <c r="B19" s="13">
        <v>18.5</v>
      </c>
      <c r="C19" s="50">
        <f>AVERAGE(B19,B8:B18)</f>
        <v>17.333333333333336</v>
      </c>
      <c r="D19" s="12">
        <v>13.1</v>
      </c>
      <c r="E19" s="13">
        <v>30</v>
      </c>
      <c r="F19" s="50">
        <f t="shared" si="0"/>
        <v>60635.97</v>
      </c>
      <c r="G19" s="44">
        <f t="shared" si="2"/>
        <v>627342.05579999997</v>
      </c>
      <c r="H19" s="32">
        <v>490000</v>
      </c>
      <c r="I19" s="33">
        <f t="shared" si="4"/>
        <v>137342.05579999997</v>
      </c>
      <c r="J19" s="76">
        <f t="shared" si="1"/>
        <v>3261.9</v>
      </c>
      <c r="K19" s="76">
        <f t="shared" si="3"/>
        <v>36070.970000000008</v>
      </c>
      <c r="T19" s="76"/>
      <c r="U19" s="40"/>
    </row>
    <row r="20" spans="1:21" x14ac:dyDescent="0.25">
      <c r="A20" s="4">
        <v>44013</v>
      </c>
      <c r="B20" s="13">
        <v>21.7</v>
      </c>
      <c r="C20" s="50">
        <f>AVERAGE(B20,B9:B19)</f>
        <v>17.725000000000001</v>
      </c>
      <c r="D20" s="12">
        <v>10.9</v>
      </c>
      <c r="E20" s="13">
        <v>31</v>
      </c>
      <c r="F20" s="50">
        <f t="shared" si="0"/>
        <v>61152.466200000003</v>
      </c>
      <c r="G20" s="44">
        <f t="shared" si="2"/>
        <v>624764.41200000001</v>
      </c>
      <c r="H20" s="32">
        <v>490000</v>
      </c>
      <c r="I20" s="33">
        <f t="shared" si="4"/>
        <v>134764.41200000001</v>
      </c>
      <c r="J20" s="76">
        <f t="shared" si="1"/>
        <v>2804.5700000000006</v>
      </c>
      <c r="K20" s="76">
        <f t="shared" si="3"/>
        <v>35144.69</v>
      </c>
      <c r="M20" s="70"/>
      <c r="T20" s="76"/>
      <c r="U20" s="40"/>
    </row>
    <row r="21" spans="1:21" x14ac:dyDescent="0.25">
      <c r="A21" s="4">
        <v>44044</v>
      </c>
      <c r="B21" s="13">
        <v>17.5</v>
      </c>
      <c r="C21" s="50">
        <f>AVERAGE(B21,B10:B20)</f>
        <v>17.5</v>
      </c>
      <c r="D21" s="12">
        <v>11.2</v>
      </c>
      <c r="E21" s="13">
        <v>31</v>
      </c>
      <c r="F21" s="50">
        <f t="shared" si="0"/>
        <v>50673.84</v>
      </c>
      <c r="G21" s="44">
        <f t="shared" si="2"/>
        <v>600756.38760000002</v>
      </c>
      <c r="H21" s="32">
        <v>490000</v>
      </c>
      <c r="I21" s="33">
        <f t="shared" si="4"/>
        <v>110756.38760000002</v>
      </c>
      <c r="J21" s="76">
        <f t="shared" si="1"/>
        <v>2881.76</v>
      </c>
      <c r="K21" s="76">
        <f t="shared" si="3"/>
        <v>34347.060000000005</v>
      </c>
      <c r="T21" s="76"/>
      <c r="U21" s="40"/>
    </row>
    <row r="22" spans="1:21" x14ac:dyDescent="0.25">
      <c r="A22" s="4">
        <v>44075</v>
      </c>
      <c r="B22" s="13">
        <v>16.5</v>
      </c>
      <c r="C22" s="50">
        <f>AVERAGE(B22,B21,B20,B11:B19)</f>
        <v>17.416666666666668</v>
      </c>
      <c r="D22" s="12">
        <v>11.7</v>
      </c>
      <c r="E22" s="13">
        <v>30</v>
      </c>
      <c r="F22" s="50">
        <f t="shared" si="0"/>
        <v>48301.109999999993</v>
      </c>
      <c r="G22" s="44">
        <f t="shared" si="2"/>
        <v>596077.64760000003</v>
      </c>
      <c r="H22" s="32">
        <v>490000</v>
      </c>
      <c r="I22" s="33">
        <f t="shared" si="4"/>
        <v>106077.64760000003</v>
      </c>
      <c r="J22" s="76">
        <f t="shared" si="1"/>
        <v>2913.3</v>
      </c>
      <c r="K22" s="76">
        <f t="shared" si="3"/>
        <v>34247.460000000006</v>
      </c>
      <c r="T22" s="76"/>
      <c r="U22" s="40"/>
    </row>
    <row r="23" spans="1:21" x14ac:dyDescent="0.25">
      <c r="A23" s="4">
        <v>44105</v>
      </c>
      <c r="B23" s="13">
        <v>15.8</v>
      </c>
      <c r="C23" s="50">
        <f>AVERAGE(B23,B12:B22)</f>
        <v>17.541666666666664</v>
      </c>
      <c r="D23" s="12">
        <v>12.1</v>
      </c>
      <c r="E23" s="13">
        <v>31</v>
      </c>
      <c r="F23" s="50">
        <f t="shared" si="0"/>
        <v>49427.677199999998</v>
      </c>
      <c r="G23" s="44">
        <f t="shared" si="2"/>
        <v>601879.28520000004</v>
      </c>
      <c r="H23" s="32">
        <v>490000</v>
      </c>
      <c r="I23" s="33">
        <f t="shared" si="4"/>
        <v>111879.28520000004</v>
      </c>
      <c r="J23" s="76">
        <f t="shared" si="1"/>
        <v>3113.3300000000004</v>
      </c>
      <c r="K23" s="76">
        <f t="shared" si="3"/>
        <v>34324.65</v>
      </c>
      <c r="T23" s="76"/>
      <c r="U23" s="40"/>
    </row>
    <row r="24" spans="1:21" ht="15.75" thickBot="1" x14ac:dyDescent="0.3">
      <c r="A24" s="4">
        <v>44136</v>
      </c>
      <c r="B24" s="13">
        <v>13.2</v>
      </c>
      <c r="C24" s="50">
        <f>AVERAGE(B24,B13:B23)</f>
        <v>17.541666666666668</v>
      </c>
      <c r="D24" s="12">
        <v>9.6999999999999993</v>
      </c>
      <c r="E24" s="13">
        <v>30</v>
      </c>
      <c r="F24" s="50">
        <f t="shared" si="0"/>
        <v>32035.607999999997</v>
      </c>
      <c r="G24" s="44">
        <f t="shared" si="2"/>
        <v>598246.38120000006</v>
      </c>
      <c r="H24" s="32">
        <v>490000</v>
      </c>
      <c r="I24" s="41">
        <f t="shared" si="4"/>
        <v>108246.38120000006</v>
      </c>
      <c r="J24" s="76">
        <f t="shared" si="1"/>
        <v>2415.3000000000002</v>
      </c>
      <c r="K24" s="76">
        <f t="shared" si="3"/>
        <v>34050.75</v>
      </c>
      <c r="T24" s="76"/>
      <c r="U24" s="40"/>
    </row>
    <row r="25" spans="1:21" ht="15.75" thickBot="1" x14ac:dyDescent="0.3">
      <c r="A25" s="4">
        <v>44166</v>
      </c>
      <c r="B25" s="13">
        <v>12.8</v>
      </c>
      <c r="C25" s="50">
        <f>AVERAGE(B25,B14:B24)</f>
        <v>17.649999999999999</v>
      </c>
      <c r="D25" s="12">
        <v>10.5</v>
      </c>
      <c r="E25" s="13">
        <v>31</v>
      </c>
      <c r="F25" s="50">
        <f t="shared" si="0"/>
        <v>34747.776000000005</v>
      </c>
      <c r="G25" s="54">
        <f t="shared" si="2"/>
        <v>598802.24219999998</v>
      </c>
      <c r="H25" s="32">
        <v>445000</v>
      </c>
      <c r="I25" s="43">
        <f t="shared" si="4"/>
        <v>153802.24219999998</v>
      </c>
      <c r="J25" s="76">
        <f t="shared" si="1"/>
        <v>2701.65</v>
      </c>
      <c r="K25" s="76">
        <f t="shared" si="3"/>
        <v>33793.450000000004</v>
      </c>
      <c r="T25" s="76"/>
      <c r="U25" s="40"/>
    </row>
    <row r="26" spans="1:21" x14ac:dyDescent="0.25">
      <c r="A26" s="4">
        <v>44197</v>
      </c>
      <c r="B26" s="18">
        <v>13.1</v>
      </c>
      <c r="C26" s="53">
        <f t="shared" ref="C26:C37" si="5">AVERAGE(B15:B26)</f>
        <v>16.966666666666665</v>
      </c>
      <c r="D26" s="12">
        <v>10.7</v>
      </c>
      <c r="E26" s="13">
        <v>31</v>
      </c>
      <c r="F26" s="50">
        <f t="shared" si="0"/>
        <v>36239.551799999994</v>
      </c>
      <c r="G26" s="50">
        <f t="shared" si="2"/>
        <v>581074.1544</v>
      </c>
      <c r="H26" s="32">
        <v>445000</v>
      </c>
      <c r="I26" s="42">
        <f t="shared" si="4"/>
        <v>136074.1544</v>
      </c>
      <c r="J26" s="76">
        <f t="shared" si="1"/>
        <v>2753.11</v>
      </c>
      <c r="K26" s="76">
        <f t="shared" si="3"/>
        <v>34025.020000000004</v>
      </c>
      <c r="T26" s="76"/>
      <c r="U26" s="40"/>
    </row>
    <row r="27" spans="1:21" x14ac:dyDescent="0.25">
      <c r="A27" s="4">
        <v>44228</v>
      </c>
      <c r="B27" s="18">
        <v>15.6</v>
      </c>
      <c r="C27" s="50">
        <f t="shared" si="5"/>
        <v>16.641666666666666</v>
      </c>
      <c r="D27" s="12">
        <v>10.9</v>
      </c>
      <c r="E27" s="13">
        <v>28</v>
      </c>
      <c r="F27" s="50">
        <f t="shared" si="0"/>
        <v>39707.7408</v>
      </c>
      <c r="G27" s="50">
        <f t="shared" si="2"/>
        <v>574334.7672</v>
      </c>
      <c r="H27" s="32">
        <v>445000</v>
      </c>
      <c r="I27" s="33">
        <f t="shared" si="4"/>
        <v>129334.7672</v>
      </c>
      <c r="J27" s="76">
        <f t="shared" si="1"/>
        <v>2533.1600000000003</v>
      </c>
      <c r="K27" s="76">
        <f t="shared" si="3"/>
        <v>34187.700000000012</v>
      </c>
      <c r="T27" s="76"/>
      <c r="U27" s="40"/>
    </row>
    <row r="28" spans="1:21" x14ac:dyDescent="0.25">
      <c r="A28" s="4">
        <v>44256</v>
      </c>
      <c r="B28" s="18">
        <v>19.8</v>
      </c>
      <c r="C28" s="50">
        <f t="shared" si="5"/>
        <v>16.808333333333334</v>
      </c>
      <c r="D28" s="12">
        <v>11.8</v>
      </c>
      <c r="E28" s="13">
        <v>31</v>
      </c>
      <c r="F28" s="50">
        <f t="shared" si="0"/>
        <v>60405.285600000003</v>
      </c>
      <c r="G28" s="50">
        <f t="shared" si="2"/>
        <v>585038.32319999998</v>
      </c>
      <c r="H28" s="32">
        <v>445000</v>
      </c>
      <c r="I28" s="33">
        <f t="shared" si="4"/>
        <v>140038.32319999998</v>
      </c>
      <c r="J28" s="76">
        <f t="shared" si="1"/>
        <v>3036.1400000000003</v>
      </c>
      <c r="K28" s="76">
        <f t="shared" si="3"/>
        <v>34445.000000000007</v>
      </c>
      <c r="T28" s="76"/>
      <c r="U28" s="40"/>
    </row>
    <row r="29" spans="1:21" x14ac:dyDescent="0.25">
      <c r="A29" s="4">
        <v>44287</v>
      </c>
      <c r="B29" s="18">
        <v>20.5</v>
      </c>
      <c r="C29" s="50">
        <f t="shared" si="5"/>
        <v>16.783333333333335</v>
      </c>
      <c r="D29" s="12">
        <v>12.3</v>
      </c>
      <c r="E29" s="13">
        <v>30</v>
      </c>
      <c r="F29" s="50">
        <f t="shared" si="0"/>
        <v>63087.93</v>
      </c>
      <c r="G29" s="50">
        <f t="shared" si="2"/>
        <v>589839.66120000009</v>
      </c>
      <c r="H29" s="32">
        <v>445000</v>
      </c>
      <c r="I29" s="33">
        <f t="shared" si="4"/>
        <v>144839.66120000009</v>
      </c>
      <c r="J29" s="76">
        <f t="shared" si="1"/>
        <v>3062.7000000000007</v>
      </c>
      <c r="K29" s="76">
        <f t="shared" si="3"/>
        <v>34718.900000000009</v>
      </c>
      <c r="T29" s="76"/>
      <c r="U29" s="40"/>
    </row>
    <row r="30" spans="1:21" x14ac:dyDescent="0.25">
      <c r="A30" s="4">
        <v>44317</v>
      </c>
      <c r="B30" s="18">
        <v>24.9</v>
      </c>
      <c r="C30" s="53">
        <f t="shared" si="5"/>
        <v>17.491666666666667</v>
      </c>
      <c r="D30" s="12">
        <v>13.4</v>
      </c>
      <c r="E30" s="13">
        <v>31</v>
      </c>
      <c r="F30" s="50">
        <f t="shared" si="0"/>
        <v>86264.456399999995</v>
      </c>
      <c r="G30" s="53">
        <f t="shared" si="2"/>
        <v>622679.41200000001</v>
      </c>
      <c r="H30" s="32">
        <v>445000</v>
      </c>
      <c r="I30" s="34">
        <f t="shared" si="4"/>
        <v>177679.41200000001</v>
      </c>
      <c r="J30" s="76">
        <f t="shared" si="1"/>
        <v>3447.8200000000006</v>
      </c>
      <c r="K30" s="76">
        <f t="shared" si="3"/>
        <v>34924.740000000005</v>
      </c>
      <c r="T30" s="76"/>
      <c r="U30" s="40"/>
    </row>
    <row r="31" spans="1:21" x14ac:dyDescent="0.25">
      <c r="A31" s="4">
        <v>44348</v>
      </c>
      <c r="B31" s="18">
        <v>23.8</v>
      </c>
      <c r="C31" s="53">
        <f t="shared" si="5"/>
        <v>17.933333333333334</v>
      </c>
      <c r="D31" s="12">
        <v>12.5</v>
      </c>
      <c r="E31" s="13">
        <v>30</v>
      </c>
      <c r="F31" s="50">
        <f t="shared" si="0"/>
        <v>74434.5</v>
      </c>
      <c r="G31" s="53">
        <f t="shared" si="2"/>
        <v>636477.94200000004</v>
      </c>
      <c r="H31" s="32">
        <v>445000</v>
      </c>
      <c r="I31" s="34">
        <f t="shared" si="4"/>
        <v>191477.94200000004</v>
      </c>
      <c r="J31" s="76">
        <f t="shared" si="1"/>
        <v>3112.5000000000005</v>
      </c>
      <c r="K31" s="76">
        <f t="shared" si="3"/>
        <v>34775.340000000004</v>
      </c>
      <c r="T31" s="76"/>
      <c r="U31" s="40"/>
    </row>
    <row r="32" spans="1:21" x14ac:dyDescent="0.25">
      <c r="A32" s="4">
        <v>44378</v>
      </c>
      <c r="B32" s="18">
        <v>17.8</v>
      </c>
      <c r="C32" s="53">
        <f t="shared" si="5"/>
        <v>17.608333333333334</v>
      </c>
      <c r="D32" s="12">
        <v>11.5</v>
      </c>
      <c r="E32" s="13">
        <v>31</v>
      </c>
      <c r="F32" s="50">
        <f t="shared" si="0"/>
        <v>52923.138000000006</v>
      </c>
      <c r="G32" s="53">
        <f t="shared" si="2"/>
        <v>628248.61380000005</v>
      </c>
      <c r="H32" s="32">
        <v>445000</v>
      </c>
      <c r="I32" s="34">
        <f t="shared" si="4"/>
        <v>183248.61380000005</v>
      </c>
      <c r="J32" s="76">
        <f t="shared" si="1"/>
        <v>2958.9500000000003</v>
      </c>
      <c r="K32" s="76">
        <f t="shared" si="3"/>
        <v>34929.72</v>
      </c>
      <c r="T32" s="76"/>
      <c r="U32" s="40"/>
    </row>
    <row r="33" spans="1:21" x14ac:dyDescent="0.25">
      <c r="A33" s="4">
        <v>44409</v>
      </c>
      <c r="B33" s="18">
        <v>17.600000000000001</v>
      </c>
      <c r="C33" s="53">
        <f t="shared" si="5"/>
        <v>17.616666666666667</v>
      </c>
      <c r="D33" s="12">
        <v>10.8</v>
      </c>
      <c r="E33" s="13">
        <v>31</v>
      </c>
      <c r="F33" s="50">
        <f t="shared" si="0"/>
        <v>49143.283200000013</v>
      </c>
      <c r="G33" s="53">
        <f t="shared" si="2"/>
        <v>626718.05700000003</v>
      </c>
      <c r="H33" s="32">
        <v>445000</v>
      </c>
      <c r="I33" s="34">
        <f t="shared" si="4"/>
        <v>181718.05700000003</v>
      </c>
      <c r="J33" s="76">
        <f t="shared" si="1"/>
        <v>2778.8400000000006</v>
      </c>
      <c r="K33" s="76">
        <f t="shared" si="3"/>
        <v>34826.800000000003</v>
      </c>
      <c r="T33" s="76"/>
      <c r="U33" s="40"/>
    </row>
    <row r="34" spans="1:21" x14ac:dyDescent="0.25">
      <c r="A34" s="4">
        <v>44440</v>
      </c>
      <c r="B34" s="18">
        <v>14.3</v>
      </c>
      <c r="C34" s="53">
        <f t="shared" si="5"/>
        <v>17.433333333333334</v>
      </c>
      <c r="D34" s="12">
        <v>10.3</v>
      </c>
      <c r="E34" s="13">
        <v>30</v>
      </c>
      <c r="F34" s="50">
        <f t="shared" si="0"/>
        <v>36851.958000000006</v>
      </c>
      <c r="G34" s="53">
        <f t="shared" si="2"/>
        <v>615268.90500000003</v>
      </c>
      <c r="H34" s="32">
        <v>445000</v>
      </c>
      <c r="I34" s="33">
        <f t="shared" si="4"/>
        <v>170268.90500000003</v>
      </c>
      <c r="J34" s="76">
        <f t="shared" si="1"/>
        <v>2564.7000000000003</v>
      </c>
      <c r="K34" s="76">
        <f t="shared" si="3"/>
        <v>34478.200000000004</v>
      </c>
      <c r="T34" s="76"/>
      <c r="U34" s="40"/>
    </row>
    <row r="35" spans="1:21" x14ac:dyDescent="0.25">
      <c r="A35" s="4">
        <v>44470</v>
      </c>
      <c r="B35" s="18">
        <v>15.4</v>
      </c>
      <c r="C35" s="53">
        <f t="shared" si="5"/>
        <v>17.400000000000002</v>
      </c>
      <c r="D35" s="12">
        <v>11.2</v>
      </c>
      <c r="E35" s="13">
        <v>31</v>
      </c>
      <c r="F35" s="50">
        <f t="shared" si="0"/>
        <v>44592.979200000002</v>
      </c>
      <c r="G35" s="53">
        <f t="shared" si="2"/>
        <v>610434.20700000017</v>
      </c>
      <c r="H35" s="32">
        <v>445000</v>
      </c>
      <c r="I35" s="33">
        <f t="shared" si="4"/>
        <v>165434.20700000017</v>
      </c>
      <c r="J35" s="76">
        <f t="shared" si="1"/>
        <v>2881.76</v>
      </c>
      <c r="K35" s="76">
        <f t="shared" si="3"/>
        <v>34246.630000000005</v>
      </c>
      <c r="N35" s="70"/>
      <c r="T35" s="76"/>
      <c r="U35" s="40"/>
    </row>
    <row r="36" spans="1:21" ht="15.75" thickBot="1" x14ac:dyDescent="0.3">
      <c r="A36" s="4">
        <v>44501</v>
      </c>
      <c r="B36" s="18">
        <v>13.5</v>
      </c>
      <c r="C36" s="53">
        <f t="shared" si="5"/>
        <v>17.425000000000001</v>
      </c>
      <c r="D36" s="12">
        <v>11.2</v>
      </c>
      <c r="E36" s="13">
        <v>30</v>
      </c>
      <c r="F36" s="50">
        <f t="shared" si="0"/>
        <v>37830.239999999998</v>
      </c>
      <c r="G36" s="53">
        <f t="shared" si="2"/>
        <v>616228.83900000015</v>
      </c>
      <c r="H36" s="32">
        <v>445000</v>
      </c>
      <c r="I36" s="41">
        <f t="shared" si="4"/>
        <v>171228.83900000015</v>
      </c>
      <c r="J36" s="76">
        <f t="shared" si="1"/>
        <v>2788.8</v>
      </c>
      <c r="K36" s="76">
        <f t="shared" si="3"/>
        <v>34620.130000000005</v>
      </c>
      <c r="N36" s="68"/>
      <c r="O36" s="68"/>
      <c r="P36" s="68"/>
      <c r="Q36" s="69"/>
      <c r="R36" s="69"/>
      <c r="S36" s="69"/>
      <c r="T36" s="76"/>
      <c r="U36" s="40"/>
    </row>
    <row r="37" spans="1:21" ht="15.75" thickBot="1" x14ac:dyDescent="0.3">
      <c r="A37" s="4">
        <v>44531</v>
      </c>
      <c r="B37" s="18">
        <v>11.8</v>
      </c>
      <c r="C37" s="53">
        <f t="shared" si="5"/>
        <v>17.341666666666669</v>
      </c>
      <c r="D37" s="12">
        <v>10.199999999999999</v>
      </c>
      <c r="E37" s="13">
        <v>31</v>
      </c>
      <c r="F37" s="50">
        <f t="shared" si="0"/>
        <v>31117.874399999997</v>
      </c>
      <c r="G37" s="56">
        <f t="shared" si="2"/>
        <v>612598.93739999994</v>
      </c>
      <c r="H37" s="55">
        <v>460000</v>
      </c>
      <c r="I37" s="43">
        <f t="shared" si="4"/>
        <v>152598.93739999994</v>
      </c>
      <c r="J37" s="76">
        <f t="shared" si="1"/>
        <v>2624.46</v>
      </c>
      <c r="K37" s="76">
        <f>SUM(J26:J37)</f>
        <v>34542.94</v>
      </c>
      <c r="N37" s="69"/>
      <c r="O37" s="69"/>
      <c r="P37" s="69"/>
      <c r="Q37" s="69"/>
      <c r="R37" s="69"/>
      <c r="S37" s="69"/>
      <c r="T37" s="76"/>
      <c r="U37" s="40"/>
    </row>
    <row r="38" spans="1:21" x14ac:dyDescent="0.25">
      <c r="A38" s="29"/>
      <c r="L38" s="40"/>
      <c r="T38" s="76"/>
      <c r="U38" s="40"/>
    </row>
    <row r="39" spans="1:21" x14ac:dyDescent="0.25">
      <c r="G39" t="s">
        <v>11</v>
      </c>
      <c r="I39" s="40">
        <f>AVERAGE(G13,G25,G37)</f>
        <v>617256.77179999999</v>
      </c>
      <c r="T39" s="76"/>
      <c r="U39" s="40"/>
    </row>
    <row r="40" spans="1:21" ht="15.75" thickBot="1" x14ac:dyDescent="0.3"/>
    <row r="41" spans="1:21" ht="15.75" thickBot="1" x14ac:dyDescent="0.3">
      <c r="A41" s="1"/>
      <c r="B41" s="1"/>
      <c r="C41" s="1"/>
      <c r="D41" s="1"/>
      <c r="E41" s="30" t="s">
        <v>20</v>
      </c>
      <c r="F41" s="31"/>
      <c r="G41" s="31"/>
      <c r="H41" s="31"/>
      <c r="I41" s="67">
        <f>I39*0.25</f>
        <v>154314.19295</v>
      </c>
    </row>
    <row r="42" spans="1:21" x14ac:dyDescent="0.25">
      <c r="A42" t="s">
        <v>5</v>
      </c>
    </row>
    <row r="43" spans="1:21" x14ac:dyDescent="0.25">
      <c r="A43" t="s">
        <v>1</v>
      </c>
    </row>
    <row r="44" spans="1:21" x14ac:dyDescent="0.25">
      <c r="A44" t="s">
        <v>3</v>
      </c>
    </row>
    <row r="46" spans="1:21" x14ac:dyDescent="0.25">
      <c r="A46" s="2" t="s">
        <v>10</v>
      </c>
    </row>
  </sheetData>
  <conditionalFormatting sqref="I2:I12 I40:I1048576 I14:I24 I26:I36 I38">
    <cfRule type="cellIs" dxfId="5" priority="5" operator="lessThan">
      <formula>$I$41</formula>
    </cfRule>
    <cfRule type="cellIs" dxfId="4" priority="6" operator="greaterThan">
      <formula>$I$41</formula>
    </cfRule>
  </conditionalFormatting>
  <conditionalFormatting sqref="I25">
    <cfRule type="cellIs" dxfId="3" priority="2" operator="lessThan">
      <formula>$I$41</formula>
    </cfRule>
    <cfRule type="cellIs" dxfId="2" priority="4" operator="greaterThan">
      <formula>$I$41</formula>
    </cfRule>
  </conditionalFormatting>
  <conditionalFormatting sqref="I37">
    <cfRule type="cellIs" dxfId="1" priority="1" operator="lessThan">
      <formula>$I$41</formula>
    </cfRule>
    <cfRule type="cellIs" dxfId="0" priority="3" operator="greaterThan">
      <formula>$I$41</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 compliance</vt:lpstr>
      <vt:lpstr>Calculating Design Flow Limit</vt:lpstr>
      <vt:lpstr>Calculating the 75% Limit</vt:lpstr>
      <vt:lpstr>In compliance mass on design</vt:lpstr>
      <vt:lpstr>Using Credits</vt:lpstr>
      <vt:lpstr>DRAFT</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 Heather</dc:creator>
  <cp:lastModifiedBy>Gallagher, Owen</cp:lastModifiedBy>
  <cp:lastPrinted>2022-04-07T23:50:33Z</cp:lastPrinted>
  <dcterms:created xsi:type="dcterms:W3CDTF">2022-01-11T18:26:20Z</dcterms:created>
  <dcterms:modified xsi:type="dcterms:W3CDTF">2024-03-07T18:14:12Z</dcterms:modified>
</cp:coreProperties>
</file>