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8790" tabRatio="835" activeTab="0"/>
  </bookViews>
  <sheets>
    <sheet name="Residential Refrigerator Calc" sheetId="1" r:id="rId1"/>
    <sheet name="Assumptions" sheetId="2" r:id="rId2"/>
  </sheets>
  <definedNames>
    <definedName name="_xlnm.Print_Area" localSheetId="1">'Assumptions'!$A$1:$D$57</definedName>
    <definedName name="_xlnm.Print_Area" localSheetId="0">'Residential Refrigerator Calc'!$A$1:$M$54</definedName>
    <definedName name="Z_554B346B_D9D9_422D_B737_63DDCB95BB09_.wvu.PrintArea" localSheetId="1" hidden="1">'Assumptions'!$A$1:$D$52</definedName>
    <definedName name="Z_554B346B_D9D9_422D_B737_63DDCB95BB09_.wvu.PrintArea" localSheetId="0" hidden="1">'Residential Refrigerator Calc'!$A$1:$M$54</definedName>
  </definedNames>
  <calcPr fullCalcOnLoad="1"/>
</workbook>
</file>

<file path=xl/sharedStrings.xml><?xml version="1.0" encoding="utf-8"?>
<sst xmlns="http://schemas.openxmlformats.org/spreadsheetml/2006/main" count="157" uniqueCount="90">
  <si>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</si>
  <si>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</si>
  <si>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</si>
  <si>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</si>
  <si>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</si>
  <si>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</si>
  <si>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</si>
  <si>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</si>
  <si>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</si>
  <si>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</si>
  <si>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t>Category</t>
  </si>
  <si>
    <t>Value</t>
  </si>
  <si>
    <t>Data Source</t>
  </si>
  <si>
    <t>Power</t>
  </si>
  <si>
    <t>years</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</si>
  <si>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</si>
  <si>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</si>
  <si>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</si>
  <si>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</si>
  <si>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</si>
  <si>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</si>
  <si>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</si>
  <si>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</si>
  <si>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</si>
  <si>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</si>
  <si>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t>Electricity Carbon Emission Factors</t>
  </si>
  <si>
    <t>Energy consumption (kWh)</t>
  </si>
  <si>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</si>
  <si>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</si>
  <si>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</si>
  <si>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</si>
  <si>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</si>
  <si>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Number of operating days per year</t>
  </si>
  <si>
    <t>days/year</t>
  </si>
  <si>
    <t>Number of operating hours per day</t>
  </si>
  <si>
    <t>Number of operating hours per year</t>
  </si>
  <si>
    <r>
      <t>ft</t>
    </r>
    <r>
      <rPr>
        <vertAlign val="superscript"/>
        <sz val="10"/>
        <rFont val="Univers"/>
        <family val="2"/>
      </rPr>
      <t>3</t>
    </r>
  </si>
  <si>
    <t>Assumptions for Residential Refrigerators</t>
  </si>
  <si>
    <t>1-Manual Defrost Refrigerators</t>
  </si>
  <si>
    <t>2-Partial Automatic Defrost Refrigerators</t>
  </si>
  <si>
    <t>4-Side Mount Freezer without through-the-door ice</t>
  </si>
  <si>
    <t>5-Bottom Mount Freezer without through-the-door ice</t>
  </si>
  <si>
    <t>6-Top Mount Freezer with through-the-door ice</t>
  </si>
  <si>
    <t>7-Side Mount Freezer with through-the-door ice</t>
  </si>
  <si>
    <t>Adjusted Volume</t>
  </si>
  <si>
    <t>3-Top Mount Freezer without through-the-door ice</t>
  </si>
  <si>
    <t>Annual Energy Consumption, kWh</t>
  </si>
  <si>
    <t>kWh</t>
  </si>
  <si>
    <t>Annual Unit Energy Consumption</t>
  </si>
  <si>
    <t>Conventional</t>
  </si>
  <si>
    <t>ENERGY STAR</t>
  </si>
  <si>
    <r>
      <t>lbs CO</t>
    </r>
    <r>
      <rPr>
        <vertAlign val="subscript"/>
        <sz val="10"/>
        <rFont val="Univers"/>
        <family val="2"/>
      </rPr>
      <t>2</t>
    </r>
    <r>
      <rPr>
        <sz val="10"/>
        <rFont val="Univers"/>
        <family val="0"/>
      </rPr>
      <t>/kWh</t>
    </r>
  </si>
  <si>
    <r>
      <t>Refrigerator Fresh Volume (ft</t>
    </r>
    <r>
      <rPr>
        <vertAlign val="superscript"/>
        <sz val="10"/>
        <rFont val="Univers"/>
        <family val="2"/>
      </rPr>
      <t>3</t>
    </r>
    <r>
      <rPr>
        <sz val="10"/>
        <rFont val="Univers"/>
        <family val="0"/>
      </rPr>
      <t>)</t>
    </r>
  </si>
  <si>
    <r>
      <t>Refrigerator Freezer Volume (ft</t>
    </r>
    <r>
      <rPr>
        <vertAlign val="superscript"/>
        <sz val="10"/>
        <rFont val="Univers"/>
        <family val="2"/>
      </rPr>
      <t>3</t>
    </r>
    <r>
      <rPr>
        <sz val="10"/>
        <rFont val="Univers"/>
        <family val="0"/>
      </rPr>
      <t>)</t>
    </r>
  </si>
  <si>
    <t>Initial cost per unit</t>
  </si>
  <si>
    <t>Calculated.</t>
  </si>
  <si>
    <t>Conventional Unit (New Unit)</t>
  </si>
  <si>
    <t>Refrigerator Fresh Volume</t>
  </si>
  <si>
    <t>Refrigerator Freezer Volume</t>
  </si>
  <si>
    <t>Initial cost difference</t>
  </si>
  <si>
    <t>Life cycle savings</t>
  </si>
  <si>
    <t>Net life cycle savings (life cycle savings - additional cost)</t>
  </si>
  <si>
    <t>Simple payback of additional cost (years)</t>
  </si>
  <si>
    <t>Life cycle energy saved (kWh)</t>
  </si>
  <si>
    <t>Air pollution reduction equivalence (number of cars removed from the road for a year)</t>
  </si>
  <si>
    <t>Air pollution reduction equivalence (acres of forest)</t>
  </si>
  <si>
    <t>Savings as a percent of retail price</t>
  </si>
  <si>
    <r>
      <t>Simple payback of initial additional cost (years)</t>
    </r>
    <r>
      <rPr>
        <vertAlign val="superscript"/>
        <sz val="10"/>
        <rFont val="Univers"/>
        <family val="2"/>
      </rPr>
      <t>†</t>
    </r>
    <r>
      <rPr>
        <sz val="10"/>
        <rFont val="Univers"/>
        <family val="2"/>
      </rPr>
      <t xml:space="preserve">  </t>
    </r>
  </si>
  <si>
    <r>
      <t>Refrigerator Total Volume (ft</t>
    </r>
    <r>
      <rPr>
        <vertAlign val="superscript"/>
        <sz val="10"/>
        <rFont val="Univers"/>
        <family val="0"/>
      </rPr>
      <t>3</t>
    </r>
    <r>
      <rPr>
        <sz val="10"/>
        <rFont val="Univers"/>
        <family val="0"/>
      </rPr>
      <t>)</t>
    </r>
  </si>
  <si>
    <t>Life Cycle Costs*</t>
  </si>
  <si>
    <t>For Selected Refrigerator Type</t>
  </si>
  <si>
    <r>
      <t>Life cycle air pollution reduction (lbs of CO</t>
    </r>
    <r>
      <rPr>
        <vertAlign val="subscript"/>
        <sz val="10"/>
        <rFont val="Univers"/>
        <family val="2"/>
      </rPr>
      <t>2</t>
    </r>
    <r>
      <rPr>
        <sz val="10"/>
        <rFont val="Univers"/>
        <family val="2"/>
      </rPr>
      <t>)</t>
    </r>
  </si>
  <si>
    <t>Energy costs</t>
  </si>
  <si>
    <t>Commercial Electricity Price</t>
  </si>
  <si>
    <t>Residential Electricity Price</t>
  </si>
  <si>
    <t>Average retail price of a qualified model in 2008 from national retail data</t>
  </si>
  <si>
    <t>Average volume of all active refrigerator models, April 2009.</t>
  </si>
  <si>
    <t>Appliance Magazine, September 2008</t>
  </si>
  <si>
    <t>Calculated based on minimum ENERGY STAR criteria for configuration.</t>
  </si>
  <si>
    <t>Average retail price of a non-qualified model in 2008 from national retail pricing</t>
  </si>
  <si>
    <t>Calculated based on minimum federal standard for configuration.</t>
  </si>
  <si>
    <t>DOE Federal Test Procedure 10 CFR 430, Appendix A1</t>
  </si>
  <si>
    <t>If you have questions, comments or suggestions, please write to calculators@energystar.gov</t>
  </si>
  <si>
    <t>Calculator last updated April 2009, utility and emission rates updated July 2011</t>
  </si>
  <si>
    <t>US Department of Energy, Annual Energy Outlook 2011 (Early Release), (converted from 2009 to 2010 dollars), http://www.eia.gov/forecasts/aeo/er/</t>
  </si>
  <si>
    <t>EPA 2011</t>
  </si>
  <si>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</si>
  <si>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/yr</t>
    </r>
  </si>
  <si>
    <t>EPA’s Greenhouse Gas Equivalencies Calculator, http://www.epa.gov/cleanenergy/energy-resources/calculator.html</t>
  </si>
  <si>
    <r>
      <t>Annual CO</t>
    </r>
    <r>
      <rPr>
        <vertAlign val="subscript"/>
        <sz val="10"/>
        <rFont val="Univers"/>
        <family val="2"/>
      </rPr>
      <t>2</t>
    </r>
    <r>
      <rPr>
        <sz val="10"/>
        <rFont val="Univers"/>
        <family val="2"/>
      </rPr>
      <t xml:space="preserve"> emissions per average passenger car</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</si>
</sst>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_(&quot;$&quot;* #,##0.000_);_(&quot;$&quot;* \(#,##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_(&quot;$&quot;* #,##0.0000_);_(&quot;$&quot;* \(#,##0.0000\);_(&quot;$&quot;* &quot;-&quot;????_);_(@_)"/>
    <numFmt numFmtId="179" formatCode="&quot;$&quot;#,##0.000"/>
    <numFmt numFmtId="180" formatCode="&quot;$&quot;#,##0.0000"/>
  </numFmts>
  <fonts count="6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2"/>
      <name val="univers"/>
      <family val="0"/>
    </font>
    <font>
      <b/>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8"/>
      <name val="Univers"/>
      <family val="0"/>
    </font>
    <font>
      <i/>
      <vertAlign val="superscript"/>
      <sz val="9"/>
      <name val="Univers"/>
      <family val="2"/>
    </font>
    <font>
      <b/>
      <sz val="9"/>
      <color indexed="10"/>
      <name val="Univers"/>
      <family val="2"/>
    </font>
    <font>
      <i/>
      <sz val="10"/>
      <color indexed="10"/>
      <name val="Univers"/>
      <family val="0"/>
    </font>
    <font>
      <sz val="10"/>
      <color indexed="9"/>
      <name val="Univers"/>
      <family val="0"/>
    </font>
    <font>
      <sz val="10"/>
      <color indexed="48"/>
      <name val="Univers"/>
      <family val="0"/>
    </font>
    <font>
      <i/>
      <sz val="10"/>
      <name val="univers"/>
      <family val="0"/>
    </font>
    <font>
      <b/>
      <sz val="10"/>
      <name val="Arial"/>
      <family val="0"/>
    </font>
    <font>
      <u val="single"/>
      <sz val="10"/>
      <color indexed="12"/>
      <name val="Arial"/>
      <family val="0"/>
    </font>
    <font>
      <u val="single"/>
      <sz val="10"/>
      <color indexed="36"/>
      <name val="Arial"/>
      <family val="0"/>
    </font>
    <font>
      <u val="single"/>
      <sz val="9"/>
      <color indexed="12"/>
      <name val="Arial"/>
      <family val="0"/>
    </font>
    <font>
      <b/>
      <sz val="9"/>
      <name val="Arial"/>
      <family val="0"/>
    </font>
    <font>
      <sz val="9"/>
      <color indexed="48"/>
      <name val="Univers"/>
      <family val="0"/>
    </font>
    <font>
      <b/>
      <sz val="11"/>
      <name val="Univers"/>
      <family val="2"/>
    </font>
    <font>
      <sz val="10"/>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color indexed="63"/>
      </top>
      <bottom style="mediu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2" borderId="10" xfId="0" applyFont="1" applyFill="1" applyBorder="1" applyAlignment="1" applyProtection="1">
      <alignment/>
      <protection/>
    </xf>
    <xf numFmtId="0" fontId="1" fillId="32" borderId="11" xfId="0" applyFont="1" applyFill="1" applyBorder="1" applyAlignment="1" applyProtection="1">
      <alignment/>
      <protection/>
    </xf>
    <xf numFmtId="0" fontId="3" fillId="32" borderId="0" xfId="0" applyFont="1" applyFill="1" applyBorder="1" applyAlignment="1" applyProtection="1">
      <alignment horizontal="right"/>
      <protection/>
    </xf>
    <xf numFmtId="0" fontId="1" fillId="32" borderId="0" xfId="0" applyFont="1" applyFill="1" applyBorder="1" applyAlignment="1" applyProtection="1">
      <alignment/>
      <protection/>
    </xf>
    <xf numFmtId="0" fontId="1" fillId="32" borderId="12" xfId="0" applyFont="1" applyFill="1" applyBorder="1" applyAlignment="1" applyProtection="1">
      <alignment/>
      <protection/>
    </xf>
    <xf numFmtId="0" fontId="1" fillId="0" borderId="0" xfId="0" applyFont="1" applyAlignment="1" applyProtection="1">
      <alignment horizontal="right"/>
      <protection/>
    </xf>
    <xf numFmtId="0" fontId="1" fillId="32" borderId="11" xfId="0" applyFont="1" applyFill="1" applyBorder="1" applyAlignment="1" applyProtection="1">
      <alignment horizontal="left"/>
      <protection/>
    </xf>
    <xf numFmtId="0" fontId="1" fillId="32" borderId="11" xfId="0" applyFont="1" applyFill="1" applyBorder="1" applyAlignment="1" applyProtection="1">
      <alignment horizontal="left" indent="2"/>
      <protection/>
    </xf>
    <xf numFmtId="9" fontId="1" fillId="32" borderId="0" xfId="0" applyNumberFormat="1" applyFont="1" applyFill="1" applyBorder="1" applyAlignment="1" applyProtection="1">
      <alignment/>
      <protection locked="0"/>
    </xf>
    <xf numFmtId="166" fontId="1" fillId="32" borderId="0" xfId="0" applyNumberFormat="1" applyFont="1" applyFill="1" applyBorder="1" applyAlignment="1" applyProtection="1">
      <alignment/>
      <protection/>
    </xf>
    <xf numFmtId="166" fontId="1" fillId="32" borderId="0" xfId="0" applyNumberFormat="1" applyFont="1" applyFill="1" applyBorder="1" applyAlignment="1" applyProtection="1">
      <alignment/>
      <protection locked="0"/>
    </xf>
    <xf numFmtId="0" fontId="1" fillId="32" borderId="13" xfId="0" applyFont="1" applyFill="1" applyBorder="1" applyAlignment="1" applyProtection="1">
      <alignment/>
      <protection/>
    </xf>
    <xf numFmtId="0" fontId="1" fillId="32" borderId="14" xfId="0" applyFont="1" applyFill="1" applyBorder="1" applyAlignment="1" applyProtection="1">
      <alignment/>
      <protection/>
    </xf>
    <xf numFmtId="0" fontId="1" fillId="32"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33" borderId="11" xfId="0" applyFont="1" applyFill="1" applyBorder="1" applyAlignment="1" applyProtection="1">
      <alignment horizontal="left"/>
      <protection/>
    </xf>
    <xf numFmtId="0" fontId="1" fillId="33" borderId="12"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0" borderId="0" xfId="0" applyFont="1" applyFill="1" applyAlignment="1" applyProtection="1">
      <alignment/>
      <protection/>
    </xf>
    <xf numFmtId="0" fontId="1" fillId="32" borderId="0" xfId="0" applyNumberFormat="1" applyFont="1" applyFill="1" applyBorder="1" applyAlignment="1" applyProtection="1">
      <alignment/>
      <protection/>
    </xf>
    <xf numFmtId="0" fontId="1" fillId="34" borderId="17" xfId="0" applyNumberFormat="1" applyFont="1" applyFill="1" applyBorder="1" applyAlignment="1" applyProtection="1">
      <alignment/>
      <protection locked="0"/>
    </xf>
    <xf numFmtId="0" fontId="2" fillId="32" borderId="16" xfId="0" applyFont="1" applyFill="1" applyBorder="1" applyAlignment="1" applyProtection="1">
      <alignment/>
      <protection/>
    </xf>
    <xf numFmtId="0" fontId="3" fillId="32" borderId="18" xfId="0" applyFont="1" applyFill="1" applyBorder="1" applyAlignment="1" applyProtection="1">
      <alignment horizontal="center" wrapText="1"/>
      <protection/>
    </xf>
    <xf numFmtId="0" fontId="3" fillId="32" borderId="0" xfId="0" applyFont="1" applyFill="1" applyBorder="1" applyAlignment="1" applyProtection="1">
      <alignment horizontal="center" wrapText="1"/>
      <protection/>
    </xf>
    <xf numFmtId="0" fontId="3" fillId="4" borderId="18" xfId="0" applyFont="1" applyFill="1" applyBorder="1" applyAlignment="1" applyProtection="1">
      <alignment horizontal="center" wrapText="1"/>
      <protection/>
    </xf>
    <xf numFmtId="167" fontId="3" fillId="4" borderId="18"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1" fillId="33" borderId="0" xfId="0" applyFont="1" applyFill="1" applyBorder="1" applyAlignment="1" applyProtection="1">
      <alignment/>
      <protection/>
    </xf>
    <xf numFmtId="0" fontId="2" fillId="32"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6"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6"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2" xfId="59"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8"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8" fillId="0" borderId="20" xfId="0" applyFont="1" applyBorder="1" applyAlignment="1" applyProtection="1">
      <alignment/>
      <protection/>
    </xf>
    <xf numFmtId="0" fontId="12" fillId="4" borderId="11" xfId="0" applyFont="1" applyFill="1" applyBorder="1" applyAlignment="1" applyProtection="1">
      <alignment/>
      <protection/>
    </xf>
    <xf numFmtId="0" fontId="8" fillId="4" borderId="11" xfId="0" applyFont="1" applyFill="1" applyBorder="1" applyAlignment="1" applyProtection="1">
      <alignment/>
      <protection/>
    </xf>
    <xf numFmtId="171" fontId="1" fillId="32" borderId="14" xfId="0" applyNumberFormat="1" applyFont="1" applyFill="1" applyBorder="1" applyAlignment="1" applyProtection="1">
      <alignment horizontal="right"/>
      <protection/>
    </xf>
    <xf numFmtId="171" fontId="1" fillId="32" borderId="14" xfId="0" applyNumberFormat="1" applyFont="1" applyFill="1" applyBorder="1" applyAlignment="1" applyProtection="1">
      <alignment/>
      <protection/>
    </xf>
    <xf numFmtId="166" fontId="1" fillId="34" borderId="17" xfId="0" applyNumberFormat="1" applyFont="1" applyFill="1" applyBorder="1" applyAlignment="1" applyProtection="1">
      <alignment/>
      <protection locked="0"/>
    </xf>
    <xf numFmtId="0" fontId="1" fillId="34" borderId="21" xfId="0" applyNumberFormat="1" applyFont="1" applyFill="1" applyBorder="1" applyAlignment="1" applyProtection="1">
      <alignment/>
      <protection locked="0"/>
    </xf>
    <xf numFmtId="164" fontId="1" fillId="34" borderId="17" xfId="0" applyNumberFormat="1" applyFont="1" applyFill="1" applyBorder="1" applyAlignment="1" applyProtection="1">
      <alignment/>
      <protection locked="0"/>
    </xf>
    <xf numFmtId="2" fontId="1" fillId="33"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protection/>
    </xf>
    <xf numFmtId="168" fontId="8" fillId="4" borderId="0" xfId="0" applyNumberFormat="1" applyFont="1" applyFill="1" applyBorder="1" applyAlignment="1" applyProtection="1">
      <alignment horizontal="right"/>
      <protection/>
    </xf>
    <xf numFmtId="0" fontId="1" fillId="32" borderId="0" xfId="0" applyFont="1" applyFill="1" applyBorder="1" applyAlignment="1" applyProtection="1">
      <alignment horizontal="center" vertical="center" wrapText="1"/>
      <protection/>
    </xf>
    <xf numFmtId="0" fontId="17" fillId="32" borderId="11" xfId="0" applyFont="1" applyFill="1" applyBorder="1" applyAlignment="1" applyProtection="1">
      <alignment vertical="center"/>
      <protection locked="0"/>
    </xf>
    <xf numFmtId="0" fontId="1" fillId="0" borderId="0" xfId="0" applyNumberFormat="1" applyFont="1" applyFill="1" applyBorder="1" applyAlignment="1" applyProtection="1">
      <alignment horizontal="right"/>
      <protection/>
    </xf>
    <xf numFmtId="0" fontId="1" fillId="0" borderId="19" xfId="0" applyFont="1" applyBorder="1" applyAlignment="1" applyProtection="1">
      <alignment horizontal="left" indent="2"/>
      <protection/>
    </xf>
    <xf numFmtId="0" fontId="8" fillId="0" borderId="19" xfId="0" applyFont="1" applyFill="1" applyBorder="1" applyAlignment="1" applyProtection="1">
      <alignment horizontal="left"/>
      <protection/>
    </xf>
    <xf numFmtId="1" fontId="1" fillId="0" borderId="11" xfId="59" applyNumberFormat="1" applyFont="1" applyFill="1" applyBorder="1" applyAlignment="1" applyProtection="1">
      <alignment horizontal="right"/>
      <protection/>
    </xf>
    <xf numFmtId="6" fontId="1" fillId="0" borderId="11"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6" fontId="18" fillId="32"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1" fillId="0" borderId="0" xfId="0" applyFont="1" applyAlignment="1">
      <alignment/>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2" fillId="0" borderId="0" xfId="0" applyFont="1" applyAlignment="1" applyProtection="1">
      <alignment horizontal="right"/>
      <protection/>
    </xf>
    <xf numFmtId="0" fontId="1" fillId="0" borderId="0" xfId="0" applyFont="1" applyFill="1" applyBorder="1" applyAlignment="1" applyProtection="1">
      <alignment horizontal="right"/>
      <protection/>
    </xf>
    <xf numFmtId="0" fontId="7" fillId="0" borderId="19" xfId="0" applyFont="1" applyBorder="1" applyAlignment="1" applyProtection="1">
      <alignment horizontal="left" indent="1"/>
      <protection/>
    </xf>
    <xf numFmtId="164" fontId="1" fillId="0" borderId="11" xfId="0" applyNumberFormat="1" applyFont="1" applyFill="1" applyBorder="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Alignment="1" applyProtection="1">
      <alignment vertical="top"/>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167" fontId="1" fillId="0" borderId="0" xfId="0" applyNumberFormat="1" applyFont="1" applyBorder="1" applyAlignment="1" applyProtection="1">
      <alignment horizontal="right"/>
      <protection/>
    </xf>
    <xf numFmtId="166" fontId="1" fillId="34" borderId="17" xfId="0" applyNumberFormat="1" applyFont="1" applyFill="1" applyBorder="1" applyAlignment="1" applyProtection="1">
      <alignment horizontal="right"/>
      <protection locked="0"/>
    </xf>
    <xf numFmtId="0" fontId="20" fillId="0" borderId="0" xfId="0" applyFont="1" applyAlignment="1" applyProtection="1">
      <alignment/>
      <protection/>
    </xf>
    <xf numFmtId="173" fontId="1" fillId="34" borderId="21" xfId="0" applyNumberFormat="1" applyFont="1" applyFill="1" applyBorder="1" applyAlignment="1" applyProtection="1">
      <alignment/>
      <protection locked="0"/>
    </xf>
    <xf numFmtId="1" fontId="1" fillId="0" borderId="11" xfId="0" applyNumberFormat="1" applyFont="1" applyBorder="1" applyAlignment="1">
      <alignment horizontal="right"/>
    </xf>
    <xf numFmtId="0" fontId="1" fillId="32" borderId="11" xfId="0" applyFont="1" applyFill="1" applyBorder="1" applyAlignment="1" applyProtection="1">
      <alignment horizontal="left"/>
      <protection/>
    </xf>
    <xf numFmtId="0" fontId="7" fillId="0" borderId="19" xfId="0" applyFont="1" applyFill="1" applyBorder="1" applyAlignment="1" applyProtection="1">
      <alignment horizontal="left" indent="1"/>
      <protection/>
    </xf>
    <xf numFmtId="0" fontId="1" fillId="0" borderId="19" xfId="0" applyFont="1" applyBorder="1" applyAlignment="1">
      <alignment horizontal="left" indent="3"/>
    </xf>
    <xf numFmtId="0" fontId="1" fillId="0" borderId="19" xfId="0" applyFont="1" applyFill="1" applyBorder="1" applyAlignment="1">
      <alignment horizontal="left" indent="3"/>
    </xf>
    <xf numFmtId="0" fontId="1" fillId="0" borderId="19" xfId="0" applyFont="1" applyBorder="1" applyAlignment="1" applyProtection="1">
      <alignment horizontal="left" vertical="top" indent="2"/>
      <protection/>
    </xf>
    <xf numFmtId="0" fontId="1" fillId="0" borderId="19" xfId="0" applyFont="1" applyBorder="1" applyAlignment="1" applyProtection="1">
      <alignment horizontal="left" indent="1"/>
      <protection/>
    </xf>
    <xf numFmtId="0" fontId="8" fillId="0" borderId="19" xfId="0" applyFont="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protection/>
    </xf>
    <xf numFmtId="0" fontId="1" fillId="4" borderId="11" xfId="0" applyFont="1" applyFill="1" applyBorder="1" applyAlignment="1" applyProtection="1">
      <alignment horizontal="right"/>
      <protection/>
    </xf>
    <xf numFmtId="0" fontId="17" fillId="0" borderId="0" xfId="0" applyFont="1" applyFill="1" applyAlignment="1" applyProtection="1">
      <alignment horizontal="right" vertical="top"/>
      <protection/>
    </xf>
    <xf numFmtId="0" fontId="17" fillId="0" borderId="0" xfId="0" applyFont="1" applyFill="1" applyBorder="1" applyAlignment="1" applyProtection="1">
      <alignment vertical="top"/>
      <protection/>
    </xf>
    <xf numFmtId="0" fontId="21" fillId="0" borderId="0" xfId="0" applyFont="1" applyAlignment="1" applyProtection="1">
      <alignment horizontal="right"/>
      <protection/>
    </xf>
    <xf numFmtId="0" fontId="17" fillId="0" borderId="0" xfId="0" applyFont="1" applyAlignment="1">
      <alignment/>
    </xf>
    <xf numFmtId="0" fontId="6" fillId="0" borderId="12" xfId="0" applyFont="1" applyFill="1" applyBorder="1" applyAlignment="1" applyProtection="1">
      <alignment horizontal="center"/>
      <protection/>
    </xf>
    <xf numFmtId="0" fontId="8" fillId="0" borderId="13" xfId="0" applyFont="1" applyBorder="1" applyAlignment="1" applyProtection="1">
      <alignment/>
      <protection/>
    </xf>
    <xf numFmtId="0" fontId="7" fillId="0" borderId="15" xfId="0" applyFont="1" applyFill="1" applyBorder="1" applyAlignment="1" applyProtection="1">
      <alignment/>
      <protection/>
    </xf>
    <xf numFmtId="0" fontId="22" fillId="0" borderId="0" xfId="0" applyFont="1" applyBorder="1" applyAlignment="1" applyProtection="1">
      <alignment horizontal="right"/>
      <protection/>
    </xf>
    <xf numFmtId="0" fontId="22" fillId="0" borderId="0" xfId="0" applyFont="1" applyBorder="1" applyAlignment="1" applyProtection="1">
      <alignment/>
      <protection/>
    </xf>
    <xf numFmtId="0" fontId="22" fillId="0" borderId="0" xfId="0" applyFont="1" applyBorder="1" applyAlignment="1" applyProtection="1">
      <alignment/>
      <protection/>
    </xf>
    <xf numFmtId="0" fontId="22" fillId="0" borderId="0" xfId="0" applyFont="1" applyBorder="1" applyAlignment="1" applyProtection="1">
      <alignment horizontal="center"/>
      <protection/>
    </xf>
    <xf numFmtId="0" fontId="22" fillId="0" borderId="0" xfId="0" applyFont="1" applyFill="1" applyAlignment="1" applyProtection="1">
      <alignment horizontal="right"/>
      <protection/>
    </xf>
    <xf numFmtId="0" fontId="22" fillId="0" borderId="0" xfId="0" applyFont="1" applyAlignment="1" applyProtection="1">
      <alignment/>
      <protection/>
    </xf>
    <xf numFmtId="0" fontId="22" fillId="0" borderId="0" xfId="0" applyFont="1" applyAlignment="1">
      <alignment horizontal="right"/>
    </xf>
    <xf numFmtId="0" fontId="22" fillId="0" borderId="0" xfId="0" applyFont="1" applyAlignment="1">
      <alignment horizontal="left"/>
    </xf>
    <xf numFmtId="1" fontId="22" fillId="0" borderId="0" xfId="0" applyNumberFormat="1" applyFont="1" applyAlignment="1">
      <alignment horizontal="right"/>
    </xf>
    <xf numFmtId="1" fontId="22" fillId="0" borderId="0" xfId="0" applyNumberFormat="1" applyFont="1" applyAlignment="1" applyProtection="1">
      <alignment/>
      <protection/>
    </xf>
    <xf numFmtId="1" fontId="22" fillId="0" borderId="0" xfId="0" applyNumberFormat="1" applyFont="1" applyBorder="1" applyAlignment="1" applyProtection="1">
      <alignment/>
      <protection/>
    </xf>
    <xf numFmtId="0" fontId="22" fillId="0" borderId="0" xfId="0" applyFont="1" applyAlignment="1">
      <alignment horizontal="right" wrapText="1"/>
    </xf>
    <xf numFmtId="0" fontId="22" fillId="0" borderId="0" xfId="0" applyFont="1" applyFill="1" applyBorder="1" applyAlignment="1">
      <alignment/>
    </xf>
    <xf numFmtId="0" fontId="22" fillId="0" borderId="0" xfId="0" applyFont="1" applyAlignment="1">
      <alignment/>
    </xf>
    <xf numFmtId="0" fontId="1" fillId="32" borderId="0" xfId="0" applyNumberFormat="1" applyFont="1" applyFill="1" applyBorder="1" applyAlignment="1" applyProtection="1">
      <alignment/>
      <protection locked="0"/>
    </xf>
    <xf numFmtId="0" fontId="23" fillId="0" borderId="0" xfId="0" applyFont="1" applyFill="1" applyAlignment="1" applyProtection="1">
      <alignment/>
      <protection/>
    </xf>
    <xf numFmtId="0" fontId="24" fillId="0" borderId="0" xfId="0" applyFont="1" applyFill="1" applyAlignment="1" applyProtection="1">
      <alignment/>
      <protection/>
    </xf>
    <xf numFmtId="0" fontId="25" fillId="0" borderId="0" xfId="0" applyFont="1" applyAlignment="1">
      <alignment/>
    </xf>
    <xf numFmtId="0" fontId="1" fillId="4" borderId="11" xfId="0" applyFont="1" applyFill="1" applyBorder="1" applyAlignment="1" applyProtection="1">
      <alignment horizontal="left"/>
      <protection/>
    </xf>
    <xf numFmtId="0" fontId="7" fillId="4" borderId="11" xfId="0" applyFont="1" applyFill="1" applyBorder="1" applyAlignment="1" applyProtection="1">
      <alignment/>
      <protection/>
    </xf>
    <xf numFmtId="3" fontId="2" fillId="4" borderId="0" xfId="0" applyNumberFormat="1" applyFont="1" applyFill="1" applyBorder="1" applyAlignment="1" applyProtection="1">
      <alignment horizontal="center"/>
      <protection/>
    </xf>
    <xf numFmtId="166" fontId="1" fillId="4" borderId="0" xfId="0" applyNumberFormat="1" applyFont="1" applyFill="1" applyBorder="1" applyAlignment="1" applyProtection="1">
      <alignment/>
      <protection/>
    </xf>
    <xf numFmtId="0" fontId="16" fillId="0" borderId="0" xfId="0" applyFont="1" applyFill="1" applyAlignment="1" applyProtection="1">
      <alignment/>
      <protection/>
    </xf>
    <xf numFmtId="0" fontId="28" fillId="0" borderId="0" xfId="53" applyFont="1" applyAlignment="1" applyProtection="1">
      <alignment/>
      <protection/>
    </xf>
    <xf numFmtId="0" fontId="29" fillId="0" borderId="0" xfId="0" applyFont="1" applyAlignment="1">
      <alignment/>
    </xf>
    <xf numFmtId="0" fontId="14" fillId="0" borderId="0" xfId="0" applyFont="1" applyFill="1" applyAlignment="1" applyProtection="1">
      <alignment/>
      <protection/>
    </xf>
    <xf numFmtId="0" fontId="30" fillId="0" borderId="0" xfId="0" applyFont="1" applyFill="1" applyAlignment="1" applyProtection="1">
      <alignment/>
      <protection/>
    </xf>
    <xf numFmtId="0" fontId="24" fillId="0" borderId="11" xfId="0" applyFont="1" applyBorder="1" applyAlignment="1" applyProtection="1">
      <alignment/>
      <protection/>
    </xf>
    <xf numFmtId="0" fontId="1" fillId="0" borderId="19" xfId="0" applyFont="1" applyBorder="1" applyAlignment="1" applyProtection="1">
      <alignment horizontal="left" indent="3"/>
      <protection/>
    </xf>
    <xf numFmtId="167" fontId="31" fillId="33" borderId="0" xfId="0" applyNumberFormat="1" applyFont="1" applyFill="1" applyBorder="1" applyAlignment="1" applyProtection="1">
      <alignment/>
      <protection/>
    </xf>
    <xf numFmtId="169" fontId="31" fillId="33" borderId="0" xfId="0" applyNumberFormat="1" applyFont="1" applyFill="1" applyBorder="1" applyAlignment="1" applyProtection="1">
      <alignment/>
      <protection/>
    </xf>
    <xf numFmtId="3" fontId="31" fillId="33" borderId="0" xfId="0" applyNumberFormat="1" applyFont="1" applyFill="1" applyBorder="1" applyAlignment="1" applyProtection="1">
      <alignment/>
      <protection/>
    </xf>
    <xf numFmtId="4" fontId="31" fillId="33" borderId="0" xfId="0" applyNumberFormat="1" applyFont="1" applyFill="1" applyBorder="1" applyAlignment="1" applyProtection="1">
      <alignment/>
      <protection/>
    </xf>
    <xf numFmtId="9" fontId="31" fillId="33" borderId="0" xfId="59" applyFont="1" applyFill="1" applyBorder="1" applyAlignment="1" applyProtection="1">
      <alignment/>
      <protection/>
    </xf>
    <xf numFmtId="0" fontId="1" fillId="33" borderId="0" xfId="0" applyFont="1" applyFill="1" applyAlignment="1" applyProtection="1">
      <alignment/>
      <protection/>
    </xf>
    <xf numFmtId="0" fontId="1" fillId="0" borderId="19" xfId="0" applyFont="1" applyFill="1" applyBorder="1" applyAlignment="1" applyProtection="1">
      <alignment horizontal="left" vertical="top" indent="1"/>
      <protection/>
    </xf>
    <xf numFmtId="0" fontId="1" fillId="0" borderId="0" xfId="0" applyFont="1" applyFill="1" applyBorder="1" applyAlignment="1" applyProtection="1">
      <alignment/>
      <protection/>
    </xf>
    <xf numFmtId="0" fontId="0" fillId="0" borderId="0" xfId="0" applyFill="1" applyAlignment="1">
      <alignment/>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0" fillId="0" borderId="0" xfId="0" applyFont="1" applyAlignment="1">
      <alignment/>
    </xf>
    <xf numFmtId="180" fontId="1" fillId="0" borderId="11" xfId="0" applyNumberFormat="1" applyFont="1" applyFill="1" applyBorder="1" applyAlignment="1" applyProtection="1">
      <alignment horizontal="right"/>
      <protection/>
    </xf>
    <xf numFmtId="0" fontId="32" fillId="0" borderId="19" xfId="0" applyFont="1" applyBorder="1" applyAlignment="1">
      <alignment wrapText="1"/>
    </xf>
    <xf numFmtId="0" fontId="1" fillId="0" borderId="11" xfId="0" applyFont="1" applyFill="1" applyBorder="1" applyAlignment="1" applyProtection="1">
      <alignment horizontal="left" indent="1"/>
      <protection/>
    </xf>
    <xf numFmtId="3" fontId="1" fillId="0" borderId="11" xfId="0" applyNumberFormat="1" applyFont="1" applyFill="1" applyBorder="1" applyAlignment="1" applyProtection="1">
      <alignment horizontal="right"/>
      <protection/>
    </xf>
    <xf numFmtId="0" fontId="1" fillId="0" borderId="13" xfId="0" applyFont="1" applyFill="1" applyBorder="1" applyAlignment="1" applyProtection="1">
      <alignment horizontal="left" indent="1"/>
      <protection/>
    </xf>
    <xf numFmtId="3" fontId="1" fillId="0" borderId="13"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8" fillId="4" borderId="22" xfId="0" applyFont="1" applyFill="1" applyBorder="1" applyAlignment="1" applyProtection="1">
      <alignment horizontal="center" wrapText="1"/>
      <protection/>
    </xf>
    <xf numFmtId="0" fontId="8" fillId="32" borderId="14" xfId="0" applyFont="1" applyFill="1" applyBorder="1" applyAlignment="1" applyProtection="1">
      <alignment horizontal="center" wrapText="1"/>
      <protection/>
    </xf>
    <xf numFmtId="0" fontId="8" fillId="32" borderId="14" xfId="0" applyFont="1" applyFill="1" applyBorder="1" applyAlignment="1" applyProtection="1">
      <alignment horizontal="center" vertical="top" wrapText="1"/>
      <protection/>
    </xf>
    <xf numFmtId="0" fontId="3" fillId="32" borderId="0" xfId="0" applyFont="1" applyFill="1" applyBorder="1" applyAlignment="1" applyProtection="1">
      <alignment horizontal="center" wrapText="1"/>
      <protection/>
    </xf>
    <xf numFmtId="0" fontId="19" fillId="0" borderId="18" xfId="0" applyFont="1" applyBorder="1" applyAlignment="1" applyProtection="1">
      <alignment wrapText="1"/>
      <protection/>
    </xf>
    <xf numFmtId="0" fontId="20" fillId="4" borderId="11" xfId="0" applyFont="1" applyFill="1" applyBorder="1" applyAlignment="1" applyProtection="1">
      <alignment wrapText="1"/>
      <protection/>
    </xf>
    <xf numFmtId="0" fontId="20" fillId="4" borderId="0" xfId="0" applyFont="1" applyFill="1" applyBorder="1" applyAlignment="1" applyProtection="1">
      <alignment wrapText="1"/>
      <protection/>
    </xf>
    <xf numFmtId="0" fontId="20" fillId="4" borderId="12" xfId="0" applyFont="1" applyFill="1" applyBorder="1" applyAlignment="1" applyProtection="1">
      <alignment wrapText="1"/>
      <protection/>
    </xf>
    <xf numFmtId="3" fontId="2" fillId="4" borderId="0" xfId="0" applyNumberFormat="1" applyFont="1" applyFill="1" applyBorder="1" applyAlignment="1" applyProtection="1">
      <alignment horizontal="right" indent="1"/>
      <protection/>
    </xf>
    <xf numFmtId="0" fontId="2" fillId="0" borderId="0" xfId="0" applyFont="1" applyFill="1" applyBorder="1" applyAlignment="1" applyProtection="1">
      <alignment/>
      <protection/>
    </xf>
    <xf numFmtId="0" fontId="0" fillId="0" borderId="0" xfId="0" applyBorder="1" applyAlignment="1">
      <alignment/>
    </xf>
    <xf numFmtId="0" fontId="11" fillId="0" borderId="14" xfId="0" applyFont="1" applyBorder="1" applyAlignment="1">
      <alignment horizontal="center" wrapText="1"/>
    </xf>
    <xf numFmtId="0" fontId="14" fillId="0" borderId="18" xfId="0" applyFont="1" applyBorder="1" applyAlignment="1" applyProtection="1">
      <alignment horizontal="left" wrapText="1"/>
      <protection/>
    </xf>
    <xf numFmtId="0" fontId="15" fillId="0" borderId="18" xfId="0" applyFont="1" applyBorder="1" applyAlignment="1" applyProtection="1">
      <alignment horizontal="left" wrapText="1"/>
      <protection/>
    </xf>
    <xf numFmtId="0" fontId="15" fillId="0" borderId="0" xfId="0" applyFont="1" applyAlignment="1" applyProtection="1">
      <alignment horizontal="left"/>
      <protection/>
    </xf>
    <xf numFmtId="3" fontId="2" fillId="4" borderId="0" xfId="0" applyNumberFormat="1" applyFont="1" applyFill="1" applyBorder="1" applyAlignment="1" applyProtection="1">
      <alignment horizontal="center"/>
      <protection/>
    </xf>
    <xf numFmtId="167"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left"/>
      <protection/>
    </xf>
    <xf numFmtId="0" fontId="1" fillId="0" borderId="19" xfId="0" applyFont="1" applyBorder="1" applyAlignment="1">
      <alignment vertical="center" wrapText="1"/>
    </xf>
    <xf numFmtId="0" fontId="0" fillId="0" borderId="23" xfId="0" applyBorder="1" applyAlignment="1">
      <alignment vertical="center" wrapText="1"/>
    </xf>
    <xf numFmtId="0" fontId="6" fillId="0" borderId="16" xfId="0" applyFont="1" applyBorder="1" applyAlignment="1" applyProtection="1">
      <alignment horizontal="center"/>
      <protection/>
    </xf>
    <xf numFmtId="0" fontId="6" fillId="0" borderId="18" xfId="0" applyFont="1" applyBorder="1" applyAlignment="1" applyProtection="1">
      <alignment horizontal="center"/>
      <protection/>
    </xf>
    <xf numFmtId="0" fontId="6" fillId="0" borderId="10" xfId="0" applyFont="1" applyBorder="1" applyAlignment="1" applyProtection="1">
      <alignment horizontal="center"/>
      <protection/>
    </xf>
    <xf numFmtId="0" fontId="7" fillId="0" borderId="14" xfId="0" applyFont="1" applyFill="1" applyBorder="1" applyAlignment="1" applyProtection="1">
      <alignment horizontal="center"/>
      <protection/>
    </xf>
    <xf numFmtId="0" fontId="22" fillId="0" borderId="0" xfId="0" applyFont="1" applyBorder="1" applyAlignment="1" applyProtection="1">
      <alignment horizontal="center"/>
      <protection/>
    </xf>
    <xf numFmtId="0" fontId="1" fillId="0" borderId="19"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14</xdr:row>
      <xdr:rowOff>180975</xdr:rowOff>
    </xdr:from>
    <xdr:to>
      <xdr:col>0</xdr:col>
      <xdr:colOff>2466975</xdr:colOff>
      <xdr:row>16</xdr:row>
      <xdr:rowOff>133350</xdr:rowOff>
    </xdr:to>
    <xdr:sp>
      <xdr:nvSpPr>
        <xdr:cNvPr id="2" name="AutoShape 84"/>
        <xdr:cNvSpPr>
          <a:spLocks/>
        </xdr:cNvSpPr>
      </xdr:nvSpPr>
      <xdr:spPr>
        <a:xfrm>
          <a:off x="38100" y="3086100"/>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refrigerator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8"/>
  <sheetViews>
    <sheetView showGridLines="0" showRowColHeaders="0" tabSelected="1" zoomScalePageLayoutView="0" workbookViewId="0" topLeftCell="A37">
      <selection activeCell="A1" sqref="A1"/>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5" t="s">
        <v>0</v>
      </c>
      <c r="B7" s="185"/>
      <c r="C7" s="185"/>
      <c r="D7" s="185"/>
      <c r="E7" s="185"/>
      <c r="F7" s="185"/>
      <c r="G7" s="185"/>
      <c r="H7" s="185"/>
      <c r="I7" s="185"/>
      <c r="J7" s="185"/>
      <c r="K7" s="185"/>
      <c r="L7" s="185"/>
      <c r="M7" s="185"/>
    </row>
    <row r="8" spans="1:13" ht="15.75" customHeight="1">
      <c r="A8" s="185" t="str">
        <f>""&amp;C14&amp;" ENERGY STAR Qualified Residential Refrigerator(s)"</f>
        <v>1 ENERGY STAR Qualified Residential Refrigerator(s)</v>
      </c>
      <c r="B8" s="185"/>
      <c r="C8" s="185"/>
      <c r="D8" s="185"/>
      <c r="E8" s="185"/>
      <c r="F8" s="185"/>
      <c r="G8" s="185"/>
      <c r="H8" s="185"/>
      <c r="I8" s="185"/>
      <c r="J8" s="185"/>
      <c r="K8" s="185"/>
      <c r="L8" s="185"/>
      <c r="M8" s="185"/>
    </row>
    <row r="9" spans="1:13" s="3" customFormat="1" ht="12.75">
      <c r="A9" s="2"/>
      <c r="B9" s="2"/>
      <c r="C9" s="2"/>
      <c r="D9" s="2"/>
      <c r="E9" s="2"/>
      <c r="F9" s="2"/>
      <c r="G9" s="2"/>
      <c r="H9" s="2"/>
      <c r="I9" s="2"/>
      <c r="J9" s="2"/>
      <c r="K9" s="2"/>
      <c r="L9" s="2"/>
      <c r="M9" s="2"/>
    </row>
    <row r="10" spans="1:13" s="3" customFormat="1" ht="27" customHeight="1">
      <c r="A10" s="186" t="s">
        <v>1</v>
      </c>
      <c r="B10" s="186"/>
      <c r="C10" s="186"/>
      <c r="D10" s="186"/>
      <c r="E10" s="186"/>
      <c r="F10" s="186"/>
      <c r="G10" s="186"/>
      <c r="H10" s="186"/>
      <c r="I10" s="186"/>
      <c r="J10" s="186"/>
      <c r="K10" s="186"/>
      <c r="L10" s="186"/>
      <c r="M10" s="186"/>
    </row>
    <row r="11" spans="1:13" s="3" customFormat="1" ht="24.75" customHeight="1">
      <c r="A11" s="2"/>
      <c r="B11" s="2"/>
      <c r="C11" s="2"/>
      <c r="D11" s="2"/>
      <c r="E11" s="2"/>
      <c r="F11" s="2"/>
      <c r="G11" s="2"/>
      <c r="H11" s="2"/>
      <c r="I11" s="2"/>
      <c r="J11" s="2"/>
      <c r="K11" s="2"/>
      <c r="L11" s="2"/>
      <c r="M11" s="2"/>
    </row>
    <row r="12" spans="1:13" ht="15.75">
      <c r="A12" s="187" t="s">
        <v>2</v>
      </c>
      <c r="B12" s="187"/>
      <c r="C12" s="187"/>
      <c r="D12" s="187"/>
      <c r="E12" s="187"/>
      <c r="F12" s="187"/>
      <c r="G12" s="187"/>
      <c r="H12" s="187"/>
      <c r="I12" s="187"/>
      <c r="J12" s="187"/>
      <c r="K12" s="187"/>
      <c r="L12" s="187"/>
      <c r="M12" s="187"/>
    </row>
    <row r="13" spans="1:13" ht="4.5" customHeight="1" thickBot="1">
      <c r="A13" s="37"/>
      <c r="B13" s="38"/>
      <c r="C13" s="38"/>
      <c r="D13" s="38"/>
      <c r="E13" s="38"/>
      <c r="F13" s="38"/>
      <c r="G13" s="38"/>
      <c r="H13" s="38"/>
      <c r="I13" s="38"/>
      <c r="J13" s="38"/>
      <c r="K13" s="38"/>
      <c r="L13" s="38"/>
      <c r="M13" s="4"/>
    </row>
    <row r="14" spans="1:14" ht="15.75" customHeight="1" thickBot="1">
      <c r="A14" s="5" t="s">
        <v>3</v>
      </c>
      <c r="B14" s="6"/>
      <c r="C14" s="78">
        <v>1</v>
      </c>
      <c r="D14" s="7"/>
      <c r="E14" s="7"/>
      <c r="F14" s="7"/>
      <c r="G14" s="7"/>
      <c r="H14" s="7"/>
      <c r="I14" s="7"/>
      <c r="J14" s="7"/>
      <c r="K14" s="7"/>
      <c r="L14" s="7"/>
      <c r="M14" s="8"/>
      <c r="N14" s="9"/>
    </row>
    <row r="15" spans="1:13" ht="15.75" customHeight="1" thickBot="1">
      <c r="A15" s="10" t="s">
        <v>4</v>
      </c>
      <c r="B15" s="6"/>
      <c r="C15" s="117">
        <f>Assumptions!B46</f>
        <v>0.1089</v>
      </c>
      <c r="D15" s="7"/>
      <c r="E15" s="7"/>
      <c r="F15" s="7"/>
      <c r="G15" s="7"/>
      <c r="H15" s="7"/>
      <c r="I15" s="7"/>
      <c r="J15" s="7"/>
      <c r="K15" s="7"/>
      <c r="L15" s="7"/>
      <c r="M15" s="8"/>
    </row>
    <row r="16" spans="1:13" ht="15.75" customHeight="1">
      <c r="A16" s="10"/>
      <c r="B16" s="6"/>
      <c r="C16" s="151"/>
      <c r="D16" s="7"/>
      <c r="E16" s="7"/>
      <c r="F16" s="7"/>
      <c r="G16" s="7"/>
      <c r="H16" s="7"/>
      <c r="I16" s="7"/>
      <c r="J16" s="7"/>
      <c r="K16" s="7"/>
      <c r="L16" s="7"/>
      <c r="M16" s="8"/>
    </row>
    <row r="17" spans="1:14" ht="12" customHeight="1">
      <c r="A17" s="11"/>
      <c r="B17" s="6"/>
      <c r="C17" s="12"/>
      <c r="D17" s="7"/>
      <c r="E17" s="7"/>
      <c r="F17" s="7"/>
      <c r="G17" s="7"/>
      <c r="H17" s="7"/>
      <c r="I17" s="7"/>
      <c r="J17" s="7"/>
      <c r="K17" s="7"/>
      <c r="L17" s="7"/>
      <c r="M17" s="8"/>
      <c r="N17" s="9"/>
    </row>
    <row r="18" spans="1:13" ht="28.5" customHeight="1">
      <c r="A18" s="45"/>
      <c r="B18" s="189" t="s">
        <v>5</v>
      </c>
      <c r="C18" s="189"/>
      <c r="D18" s="189"/>
      <c r="E18" s="39"/>
      <c r="F18" s="190" t="s">
        <v>6</v>
      </c>
      <c r="G18" s="190"/>
      <c r="H18" s="190"/>
      <c r="I18" s="39"/>
      <c r="J18" s="191"/>
      <c r="K18" s="191"/>
      <c r="L18" s="191"/>
      <c r="M18" s="8"/>
    </row>
    <row r="19" spans="1:13" ht="9.75" customHeight="1" thickBot="1">
      <c r="A19" s="83"/>
      <c r="B19" s="39"/>
      <c r="C19" s="39"/>
      <c r="D19" s="39"/>
      <c r="E19" s="39"/>
      <c r="F19" s="39"/>
      <c r="G19" s="82"/>
      <c r="H19" s="39"/>
      <c r="I19" s="39"/>
      <c r="J19" s="39"/>
      <c r="K19" s="39"/>
      <c r="L19" s="39"/>
      <c r="M19" s="8"/>
    </row>
    <row r="20" spans="1:13" ht="15.75" customHeight="1" thickBot="1">
      <c r="A20" s="5" t="s">
        <v>7</v>
      </c>
      <c r="B20" s="7"/>
      <c r="C20" s="76">
        <f>Assumptions!B6</f>
        <v>1180</v>
      </c>
      <c r="D20" s="13"/>
      <c r="E20" s="13"/>
      <c r="F20" s="13"/>
      <c r="G20" s="115">
        <f>Assumptions!B21</f>
        <v>1150</v>
      </c>
      <c r="H20" s="13"/>
      <c r="I20" s="13"/>
      <c r="J20" s="14"/>
      <c r="K20" s="7"/>
      <c r="L20" s="13"/>
      <c r="M20" s="8"/>
    </row>
    <row r="21" spans="1:13" ht="15.75" customHeight="1" thickBot="1">
      <c r="A21" s="119" t="s">
        <v>52</v>
      </c>
      <c r="B21" s="7"/>
      <c r="C21" s="36">
        <f>Assumptions!B7</f>
        <v>14.75</v>
      </c>
      <c r="D21" s="35"/>
      <c r="E21" s="35"/>
      <c r="F21" s="35"/>
      <c r="G21" s="36">
        <f>C21</f>
        <v>14.75</v>
      </c>
      <c r="H21" s="13"/>
      <c r="I21" s="90"/>
      <c r="J21" s="14"/>
      <c r="K21" s="7"/>
      <c r="L21" s="13"/>
      <c r="M21" s="8"/>
    </row>
    <row r="22" spans="1:13" ht="15.75" customHeight="1" thickBot="1">
      <c r="A22" s="119" t="s">
        <v>53</v>
      </c>
      <c r="B22" s="7"/>
      <c r="C22" s="77">
        <f>Assumptions!B8</f>
        <v>6.76</v>
      </c>
      <c r="D22" s="35"/>
      <c r="E22" s="35"/>
      <c r="F22" s="35"/>
      <c r="G22" s="77">
        <f>C22</f>
        <v>6.76</v>
      </c>
      <c r="H22" s="13"/>
      <c r="I22" s="13"/>
      <c r="J22" s="14"/>
      <c r="K22" s="7"/>
      <c r="L22" s="13"/>
      <c r="M22" s="8"/>
    </row>
    <row r="23" spans="1:13" ht="15.75" customHeight="1" thickBot="1">
      <c r="A23" s="119" t="s">
        <v>68</v>
      </c>
      <c r="B23" s="7"/>
      <c r="C23" s="36">
        <f>SUM(C21:C22)</f>
        <v>21.509999999999998</v>
      </c>
      <c r="D23" s="35"/>
      <c r="E23" s="35"/>
      <c r="F23" s="35"/>
      <c r="G23" s="36">
        <f>SUM(G21:G22)</f>
        <v>21.509999999999998</v>
      </c>
      <c r="H23" s="13"/>
      <c r="I23" s="13"/>
      <c r="J23" s="14"/>
      <c r="K23" s="7"/>
      <c r="L23" s="13"/>
      <c r="M23" s="8"/>
    </row>
    <row r="24" spans="1:13" ht="4.5" customHeight="1">
      <c r="A24" s="15"/>
      <c r="B24" s="16"/>
      <c r="C24" s="74"/>
      <c r="D24" s="16"/>
      <c r="E24" s="16"/>
      <c r="F24" s="16"/>
      <c r="G24" s="75"/>
      <c r="H24" s="16"/>
      <c r="I24" s="16"/>
      <c r="J24" s="16"/>
      <c r="K24" s="16"/>
      <c r="L24" s="16"/>
      <c r="M24" s="17"/>
    </row>
    <row r="25" spans="1:13" ht="24.75" customHeight="1">
      <c r="A25" s="192"/>
      <c r="B25" s="192"/>
      <c r="C25" s="192"/>
      <c r="D25" s="192"/>
      <c r="E25" s="192"/>
      <c r="F25" s="192"/>
      <c r="G25" s="192"/>
      <c r="H25" s="192"/>
      <c r="I25" s="192"/>
      <c r="J25" s="192"/>
      <c r="K25" s="192"/>
      <c r="L25" s="192"/>
      <c r="M25" s="192"/>
    </row>
    <row r="26" spans="1:13" ht="15.75">
      <c r="A26" s="187" t="str">
        <f>"Annual and Life Cycle Costs and Savings for "&amp;C14&amp;" Residential Refrigerator(s)"</f>
        <v>Annual and Life Cycle Costs and Savings for 1 Residential Refrigerator(s)</v>
      </c>
      <c r="B26" s="187"/>
      <c r="C26" s="187"/>
      <c r="D26" s="187"/>
      <c r="E26" s="187"/>
      <c r="F26" s="187"/>
      <c r="G26" s="187"/>
      <c r="H26" s="187"/>
      <c r="I26" s="187"/>
      <c r="J26" s="187"/>
      <c r="K26" s="187"/>
      <c r="L26" s="187"/>
      <c r="M26" s="187"/>
    </row>
    <row r="27" spans="1:13" ht="31.5" customHeight="1">
      <c r="A27" s="18"/>
      <c r="B27" s="188" t="str">
        <f>""&amp;C14&amp;" ENERGY STAR Qualified Unit(s)"</f>
        <v>1 ENERGY STAR Qualified Unit(s)</v>
      </c>
      <c r="C27" s="188"/>
      <c r="D27" s="188"/>
      <c r="E27" s="40"/>
      <c r="F27" s="188" t="str">
        <f>""&amp;C14&amp;" Conventional Unit(s)"</f>
        <v>1 Conventional Unit(s)</v>
      </c>
      <c r="G27" s="188"/>
      <c r="H27" s="188"/>
      <c r="I27" s="40"/>
      <c r="J27" s="188" t="s">
        <v>8</v>
      </c>
      <c r="K27" s="188"/>
      <c r="L27" s="188"/>
      <c r="M27" s="19"/>
    </row>
    <row r="28" spans="1:13" ht="19.5" customHeight="1">
      <c r="A28" s="72" t="s">
        <v>28</v>
      </c>
      <c r="B28" s="20"/>
      <c r="C28" s="20"/>
      <c r="D28" s="20"/>
      <c r="E28" s="20"/>
      <c r="F28" s="20"/>
      <c r="G28" s="20"/>
      <c r="H28" s="20"/>
      <c r="I28" s="20"/>
      <c r="J28" s="20"/>
      <c r="K28" s="20"/>
      <c r="L28" s="20"/>
      <c r="M28" s="21"/>
    </row>
    <row r="29" spans="1:13" ht="15.75" customHeight="1">
      <c r="A29" s="22" t="s">
        <v>72</v>
      </c>
      <c r="B29" s="20"/>
      <c r="C29" s="23">
        <f>C30*C15</f>
        <v>41.44131268992</v>
      </c>
      <c r="D29" s="20"/>
      <c r="E29" s="20"/>
      <c r="F29" s="20"/>
      <c r="G29" s="23">
        <f>G30*C15</f>
        <v>51.8016408624</v>
      </c>
      <c r="H29" s="20"/>
      <c r="I29" s="20"/>
      <c r="J29" s="20"/>
      <c r="K29" s="23">
        <f>G29-C29</f>
        <v>10.360328172480003</v>
      </c>
      <c r="L29" s="20"/>
      <c r="M29" s="21"/>
    </row>
    <row r="30" spans="1:13" s="3" customFormat="1" ht="15.75" customHeight="1" outlineLevel="1">
      <c r="A30" s="108" t="s">
        <v>26</v>
      </c>
      <c r="B30" s="109"/>
      <c r="C30" s="113">
        <f>C14*Assumptions!B12</f>
        <v>380.5446528</v>
      </c>
      <c r="D30" s="110"/>
      <c r="E30" s="110"/>
      <c r="F30" s="110"/>
      <c r="G30" s="113">
        <f>C14*Assumptions!B27</f>
        <v>475.680816</v>
      </c>
      <c r="H30" s="110"/>
      <c r="I30" s="110"/>
      <c r="J30" s="196">
        <f>G30-C30</f>
        <v>95.1361632</v>
      </c>
      <c r="K30" s="196"/>
      <c r="L30" s="110"/>
      <c r="M30" s="111"/>
    </row>
    <row r="31" spans="1:13" ht="15.75" customHeight="1">
      <c r="A31" s="73" t="s">
        <v>9</v>
      </c>
      <c r="B31" s="24"/>
      <c r="C31" s="41">
        <f>C29</f>
        <v>41.44131268992</v>
      </c>
      <c r="D31" s="24"/>
      <c r="E31" s="24"/>
      <c r="F31" s="24"/>
      <c r="G31" s="41">
        <f>G29</f>
        <v>51.8016408624</v>
      </c>
      <c r="H31" s="24"/>
      <c r="I31" s="24"/>
      <c r="J31" s="24"/>
      <c r="K31" s="41">
        <f>K29</f>
        <v>10.360328172480003</v>
      </c>
      <c r="L31" s="24"/>
      <c r="M31" s="25"/>
    </row>
    <row r="32" spans="1:13" s="26" customFormat="1" ht="15.75" customHeight="1" collapsed="1">
      <c r="A32" s="193">
        <f>IF(Assumptions!$F$15=2,"This option shows only the increase in annual costs associated with operating a pre-1993 refrigerator compared to purchasing and operating a new unit.","")</f>
      </c>
      <c r="B32" s="194"/>
      <c r="C32" s="194"/>
      <c r="D32" s="194"/>
      <c r="E32" s="194"/>
      <c r="F32" s="194"/>
      <c r="G32" s="194"/>
      <c r="H32" s="194"/>
      <c r="I32" s="194"/>
      <c r="J32" s="194"/>
      <c r="K32" s="194"/>
      <c r="L32" s="194"/>
      <c r="M32" s="195"/>
    </row>
    <row r="33" spans="1:13" s="116" customFormat="1" ht="15.75" customHeight="1">
      <c r="A33" s="72" t="s">
        <v>69</v>
      </c>
      <c r="B33" s="20"/>
      <c r="C33" s="20"/>
      <c r="D33" s="20"/>
      <c r="E33" s="20"/>
      <c r="F33" s="20"/>
      <c r="G33" s="20"/>
      <c r="H33" s="20"/>
      <c r="I33" s="20"/>
      <c r="J33" s="20"/>
      <c r="K33" s="20"/>
      <c r="L33" s="20"/>
      <c r="M33" s="21"/>
    </row>
    <row r="34" spans="1:13" ht="15.75" customHeight="1">
      <c r="A34" s="155" t="str">
        <f>"Energy costs"</f>
        <v>Energy costs</v>
      </c>
      <c r="B34" s="20"/>
      <c r="C34" s="23">
        <f>PV(Assumptions!B42,Assumptions!B10,-C29,,0)</f>
        <v>388.92977632677633</v>
      </c>
      <c r="D34" s="20"/>
      <c r="E34" s="20"/>
      <c r="F34" s="20"/>
      <c r="G34" s="23">
        <f>PV(Assumptions!B42,Assumptions!B25,-G29,,0)</f>
        <v>486.16222040847043</v>
      </c>
      <c r="H34" s="20"/>
      <c r="I34" s="20"/>
      <c r="J34" s="204">
        <f>G34-C34</f>
        <v>97.2324440816941</v>
      </c>
      <c r="K34" s="204"/>
      <c r="L34" s="20"/>
      <c r="M34" s="21"/>
    </row>
    <row r="35" spans="1:13" ht="15.75" customHeight="1" outlineLevel="1">
      <c r="A35" s="108" t="s">
        <v>26</v>
      </c>
      <c r="B35" s="203">
        <f>C30*Assumptions!B10</f>
        <v>4566.5358336</v>
      </c>
      <c r="C35" s="203"/>
      <c r="D35" s="110"/>
      <c r="E35" s="110"/>
      <c r="F35" s="110"/>
      <c r="G35" s="157">
        <f>G30*Assumptions!B25</f>
        <v>5708.169792</v>
      </c>
      <c r="H35" s="110"/>
      <c r="I35" s="110"/>
      <c r="J35" s="205">
        <f>G35-B35</f>
        <v>1141.6339583999998</v>
      </c>
      <c r="K35" s="205"/>
      <c r="L35" s="112"/>
      <c r="M35" s="111"/>
    </row>
    <row r="36" spans="1:13" ht="17.25" customHeight="1">
      <c r="A36" s="22" t="str">
        <f>"Purchase Price for "&amp;C14&amp;" unit(s)"</f>
        <v>Purchase Price for 1 unit(s)</v>
      </c>
      <c r="B36" s="20"/>
      <c r="C36" s="158">
        <f>C20*C14</f>
        <v>1180</v>
      </c>
      <c r="D36" s="20"/>
      <c r="E36" s="20"/>
      <c r="F36" s="20"/>
      <c r="G36" s="158">
        <f>G20*C14</f>
        <v>1150</v>
      </c>
      <c r="H36" s="20"/>
      <c r="I36" s="20"/>
      <c r="J36" s="20"/>
      <c r="K36" s="23">
        <f>G36-C36</f>
        <v>-30</v>
      </c>
      <c r="L36" s="20"/>
      <c r="M36" s="21"/>
    </row>
    <row r="37" spans="1:13" ht="15.75" customHeight="1">
      <c r="A37" s="156" t="s">
        <v>9</v>
      </c>
      <c r="B37" s="24"/>
      <c r="C37" s="41">
        <f>C34+C36</f>
        <v>1568.9297763267764</v>
      </c>
      <c r="D37" s="24"/>
      <c r="E37" s="24"/>
      <c r="F37" s="24"/>
      <c r="G37" s="41">
        <f>G34+G36</f>
        <v>1636.1622204084704</v>
      </c>
      <c r="H37" s="24"/>
      <c r="I37" s="24"/>
      <c r="J37" s="24"/>
      <c r="K37" s="41">
        <f>J34+K36</f>
        <v>67.2324440816941</v>
      </c>
      <c r="L37" s="24"/>
      <c r="M37" s="25"/>
    </row>
    <row r="38" spans="1:13" ht="15.75" customHeight="1">
      <c r="A38" s="156"/>
      <c r="B38" s="24"/>
      <c r="C38" s="42"/>
      <c r="D38" s="24"/>
      <c r="E38" s="24"/>
      <c r="F38" s="24"/>
      <c r="G38" s="42"/>
      <c r="H38" s="24"/>
      <c r="I38" s="24"/>
      <c r="J38" s="24"/>
      <c r="K38" s="42"/>
      <c r="L38" s="24"/>
      <c r="M38" s="25"/>
    </row>
    <row r="39" spans="1:13" s="26" customFormat="1" ht="15.75" customHeight="1">
      <c r="A39" s="22"/>
      <c r="B39" s="20"/>
      <c r="C39" s="20"/>
      <c r="D39" s="20"/>
      <c r="E39" s="20"/>
      <c r="F39" s="20"/>
      <c r="G39" s="20"/>
      <c r="H39" s="20"/>
      <c r="I39" s="20"/>
      <c r="J39" s="129" t="s">
        <v>67</v>
      </c>
      <c r="K39" s="81">
        <f>IF(K45&lt;=0,0,IF(K31&lt;0,"N/A",IF(K31=0,"&gt;"&amp;Assumptions!B10&amp;"",IF(K45/K31&gt;Assumptions!B10,"&gt;"&amp;Assumptions!B10&amp;"",K45/K31))))</f>
        <v>2.89566117024059</v>
      </c>
      <c r="L39" s="20"/>
      <c r="M39" s="21"/>
    </row>
    <row r="40" spans="1:13" s="91" customFormat="1" ht="4.5" customHeight="1">
      <c r="A40" s="27"/>
      <c r="B40" s="28"/>
      <c r="C40" s="28"/>
      <c r="D40" s="28"/>
      <c r="E40" s="28"/>
      <c r="F40" s="28"/>
      <c r="G40" s="28"/>
      <c r="H40" s="28"/>
      <c r="I40" s="28"/>
      <c r="J40" s="28"/>
      <c r="K40" s="28"/>
      <c r="L40" s="28"/>
      <c r="M40" s="29"/>
    </row>
    <row r="41" spans="1:13" ht="13.5">
      <c r="A41" s="200" t="s">
        <v>29</v>
      </c>
      <c r="B41" s="201"/>
      <c r="C41" s="201"/>
      <c r="D41" s="201"/>
      <c r="E41" s="201"/>
      <c r="F41" s="201"/>
      <c r="G41" s="201"/>
      <c r="H41" s="201"/>
      <c r="I41" s="201"/>
      <c r="J41" s="201"/>
      <c r="K41" s="201"/>
      <c r="L41" s="201"/>
      <c r="M41" s="201"/>
    </row>
    <row r="42" spans="1:13" ht="13.5">
      <c r="A42" s="202" t="s">
        <v>30</v>
      </c>
      <c r="B42" s="202"/>
      <c r="C42" s="202"/>
      <c r="D42" s="202"/>
      <c r="E42" s="202"/>
      <c r="F42" s="202"/>
      <c r="G42" s="202"/>
      <c r="H42" s="202"/>
      <c r="I42" s="202"/>
      <c r="J42" s="202"/>
      <c r="K42" s="202"/>
      <c r="L42" s="202"/>
      <c r="M42" s="202"/>
    </row>
    <row r="43" spans="1:13" ht="24.75" customHeight="1">
      <c r="A43" s="43"/>
      <c r="B43" s="43"/>
      <c r="C43" s="43"/>
      <c r="D43" s="43"/>
      <c r="E43" s="43"/>
      <c r="F43" s="43"/>
      <c r="G43" s="43"/>
      <c r="H43" s="43"/>
      <c r="I43" s="43"/>
      <c r="J43" s="43"/>
      <c r="K43" s="43"/>
      <c r="L43" s="43"/>
      <c r="M43" s="43"/>
    </row>
    <row r="44" spans="1:13" ht="15.75">
      <c r="A44" s="199" t="str">
        <f>"Summary of Benefits for "&amp;C14&amp;" Residential Refrigerator(s)"</f>
        <v>Summary of Benefits for 1 Residential Refrigerator(s)</v>
      </c>
      <c r="B44" s="199"/>
      <c r="C44" s="199"/>
      <c r="D44" s="199"/>
      <c r="E44" s="199"/>
      <c r="F44" s="199"/>
      <c r="G44" s="199"/>
      <c r="H44" s="199"/>
      <c r="I44" s="199"/>
      <c r="J44" s="199"/>
      <c r="K44" s="199"/>
      <c r="L44" s="199"/>
      <c r="M44" s="199"/>
    </row>
    <row r="45" spans="1:13" ht="15">
      <c r="A45" s="30" t="s">
        <v>59</v>
      </c>
      <c r="B45" s="44"/>
      <c r="C45" s="44"/>
      <c r="D45" s="44"/>
      <c r="E45" s="44"/>
      <c r="F45" s="44"/>
      <c r="G45" s="44"/>
      <c r="H45" s="171"/>
      <c r="I45" s="166"/>
      <c r="J45" s="166"/>
      <c r="K45" s="166">
        <f>(C20-'Residential Refrigerator Calc'!G20)*C14</f>
        <v>30</v>
      </c>
      <c r="L45" s="44"/>
      <c r="M45" s="31"/>
    </row>
    <row r="46" spans="1:13" ht="15.75" customHeight="1">
      <c r="A46" s="30" t="s">
        <v>60</v>
      </c>
      <c r="B46" s="44"/>
      <c r="C46" s="44"/>
      <c r="D46" s="44"/>
      <c r="E46" s="44"/>
      <c r="F46" s="44"/>
      <c r="G46" s="44"/>
      <c r="H46" s="171"/>
      <c r="I46" s="166"/>
      <c r="J46" s="166"/>
      <c r="K46" s="166">
        <f>J34</f>
        <v>97.2324440816941</v>
      </c>
      <c r="L46" s="44"/>
      <c r="M46" s="31"/>
    </row>
    <row r="47" spans="1:13" ht="15.75" customHeight="1">
      <c r="A47" s="30" t="s">
        <v>61</v>
      </c>
      <c r="B47" s="44"/>
      <c r="C47" s="44"/>
      <c r="D47" s="44"/>
      <c r="E47" s="44"/>
      <c r="F47" s="44"/>
      <c r="G47" s="44"/>
      <c r="H47" s="171"/>
      <c r="I47" s="166"/>
      <c r="J47" s="166"/>
      <c r="K47" s="166">
        <f>K37</f>
        <v>67.2324440816941</v>
      </c>
      <c r="L47" s="44"/>
      <c r="M47" s="31"/>
    </row>
    <row r="48" spans="1:13" ht="15.75" customHeight="1">
      <c r="A48" s="30" t="s">
        <v>62</v>
      </c>
      <c r="B48" s="44"/>
      <c r="C48" s="44"/>
      <c r="D48" s="44"/>
      <c r="E48" s="44"/>
      <c r="F48" s="44"/>
      <c r="G48" s="44"/>
      <c r="H48" s="171"/>
      <c r="I48" s="167"/>
      <c r="J48" s="167"/>
      <c r="K48" s="167">
        <f>K39</f>
        <v>2.89566117024059</v>
      </c>
      <c r="L48" s="44"/>
      <c r="M48" s="31"/>
    </row>
    <row r="49" spans="1:13" ht="15.75" customHeight="1">
      <c r="A49" s="30" t="s">
        <v>63</v>
      </c>
      <c r="B49" s="44"/>
      <c r="C49" s="44"/>
      <c r="D49" s="44"/>
      <c r="E49" s="44"/>
      <c r="F49" s="44"/>
      <c r="G49" s="44"/>
      <c r="H49" s="171"/>
      <c r="I49" s="168"/>
      <c r="J49" s="168"/>
      <c r="K49" s="168">
        <f>J35</f>
        <v>1141.6339583999998</v>
      </c>
      <c r="L49" s="44"/>
      <c r="M49" s="31"/>
    </row>
    <row r="50" spans="1:13" ht="15.75" customHeight="1">
      <c r="A50" s="30" t="s">
        <v>71</v>
      </c>
      <c r="B50" s="44"/>
      <c r="C50" s="44"/>
      <c r="D50" s="44"/>
      <c r="E50" s="44"/>
      <c r="F50" s="44"/>
      <c r="G50" s="44"/>
      <c r="H50" s="171"/>
      <c r="I50" s="168"/>
      <c r="J50" s="168"/>
      <c r="K50" s="168">
        <f>J35*Assumptions!B49</f>
        <v>1758.1162959359997</v>
      </c>
      <c r="L50" s="44"/>
      <c r="M50" s="31"/>
    </row>
    <row r="51" spans="1:13" ht="15.75" customHeight="1">
      <c r="A51" s="30" t="s">
        <v>64</v>
      </c>
      <c r="B51" s="44"/>
      <c r="C51" s="44"/>
      <c r="D51" s="44"/>
      <c r="E51" s="44"/>
      <c r="F51" s="44"/>
      <c r="G51" s="44"/>
      <c r="H51" s="171"/>
      <c r="I51" s="169"/>
      <c r="J51" s="169"/>
      <c r="K51" s="169">
        <f>J35*Assumptions!B49/Assumptions!B53</f>
        <v>0.15636039629455706</v>
      </c>
      <c r="L51" s="44"/>
      <c r="M51" s="31"/>
    </row>
    <row r="52" spans="1:13" ht="15.75" customHeight="1">
      <c r="A52" s="30" t="s">
        <v>65</v>
      </c>
      <c r="B52" s="44"/>
      <c r="C52" s="44"/>
      <c r="D52" s="44"/>
      <c r="E52" s="44"/>
      <c r="F52" s="44"/>
      <c r="G52" s="44"/>
      <c r="H52" s="171"/>
      <c r="I52" s="169"/>
      <c r="J52" s="169"/>
      <c r="K52" s="169">
        <f>J35*Assumptions!B49/Assumptions!B52</f>
        <v>0.16991555967294866</v>
      </c>
      <c r="L52" s="44"/>
      <c r="M52" s="31"/>
    </row>
    <row r="53" spans="1:13" ht="15.75" customHeight="1">
      <c r="A53" s="79" t="s">
        <v>66</v>
      </c>
      <c r="B53" s="44"/>
      <c r="C53" s="44"/>
      <c r="D53" s="44"/>
      <c r="E53" s="44"/>
      <c r="F53" s="44"/>
      <c r="G53" s="44"/>
      <c r="H53" s="171"/>
      <c r="I53" s="170"/>
      <c r="J53" s="170"/>
      <c r="K53" s="170">
        <f>K37/(C20*C14)</f>
        <v>0.0569766475268594</v>
      </c>
      <c r="L53" s="44"/>
      <c r="M53" s="31"/>
    </row>
    <row r="54" spans="1:13" ht="4.5" customHeight="1">
      <c r="A54" s="80"/>
      <c r="B54" s="32"/>
      <c r="C54" s="32"/>
      <c r="D54" s="32"/>
      <c r="E54" s="32"/>
      <c r="F54" s="32"/>
      <c r="G54" s="32"/>
      <c r="H54" s="32"/>
      <c r="I54" s="32"/>
      <c r="J54" s="32"/>
      <c r="K54" s="32"/>
      <c r="L54" s="32"/>
      <c r="M54" s="33"/>
    </row>
    <row r="55" spans="1:13" ht="12.75" customHeight="1">
      <c r="A55" s="197"/>
      <c r="B55" s="198"/>
      <c r="C55" s="198"/>
      <c r="D55" s="198"/>
      <c r="E55" s="198"/>
      <c r="F55" s="198"/>
      <c r="G55" s="198"/>
      <c r="H55" s="198"/>
      <c r="I55" s="198"/>
      <c r="J55" s="198"/>
      <c r="K55" s="198"/>
      <c r="L55" s="198"/>
      <c r="M55" s="198"/>
    </row>
    <row r="56" spans="1:13" s="34" customFormat="1" ht="12.75">
      <c r="A56" s="159"/>
      <c r="B56" s="160"/>
      <c r="C56" s="161"/>
      <c r="D56" s="65"/>
      <c r="E56" s="154"/>
      <c r="F56" s="154"/>
      <c r="G56" s="154"/>
      <c r="H56" s="154"/>
      <c r="I56" s="154"/>
      <c r="J56" s="154"/>
      <c r="K56" s="154"/>
      <c r="L56" s="154"/>
      <c r="M56" s="154"/>
    </row>
    <row r="57" spans="1:13" s="34" customFormat="1" ht="14.25" customHeight="1">
      <c r="A57" s="162"/>
      <c r="B57" s="162"/>
      <c r="C57" s="163"/>
      <c r="D57" s="152"/>
      <c r="E57" s="152"/>
      <c r="F57" s="152"/>
      <c r="G57" s="152"/>
      <c r="H57" s="152"/>
      <c r="I57" s="152"/>
      <c r="J57" s="152"/>
      <c r="K57" s="152"/>
      <c r="L57" s="152"/>
      <c r="M57" s="152"/>
    </row>
    <row r="58" spans="1:13" ht="11.25" customHeight="1">
      <c r="A58" s="65"/>
      <c r="C58" s="152"/>
      <c r="D58" s="152"/>
      <c r="E58" s="152"/>
      <c r="F58" s="152"/>
      <c r="G58" s="152"/>
      <c r="H58" s="152"/>
      <c r="I58" s="152"/>
      <c r="J58" s="152"/>
      <c r="K58" s="152"/>
      <c r="L58" s="152"/>
      <c r="M58" s="152"/>
    </row>
    <row r="59" spans="1:13" ht="11.25" customHeight="1">
      <c r="A59" s="65"/>
      <c r="B59" s="152"/>
      <c r="C59" s="152"/>
      <c r="D59" s="152"/>
      <c r="E59" s="152"/>
      <c r="F59" s="152"/>
      <c r="G59" s="152"/>
      <c r="H59" s="152"/>
      <c r="I59" s="152"/>
      <c r="J59" s="152"/>
      <c r="K59" s="152"/>
      <c r="L59" s="152"/>
      <c r="M59" s="152"/>
    </row>
    <row r="60" ht="15.75" customHeight="1"/>
    <row r="61" ht="15.75" customHeight="1"/>
    <row r="62" ht="15.75" customHeight="1"/>
    <row r="63" ht="15.75" customHeight="1"/>
    <row r="64" ht="15.75" customHeight="1">
      <c r="E64" s="50"/>
    </row>
    <row r="65" ht="15.75" customHeight="1">
      <c r="A65" s="153"/>
    </row>
    <row r="66" ht="15.75" customHeight="1">
      <c r="A66" s="65"/>
    </row>
    <row r="67" ht="15.75" customHeight="1">
      <c r="A67" s="65"/>
    </row>
    <row r="68" ht="15.75" customHeight="1">
      <c r="A68" s="65"/>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sheetData>
  <sheetProtection sheet="1"/>
  <mergeCells count="21">
    <mergeCell ref="J35:K35"/>
    <mergeCell ref="A25:M25"/>
    <mergeCell ref="A32:M32"/>
    <mergeCell ref="J30:K30"/>
    <mergeCell ref="F27:H27"/>
    <mergeCell ref="A55:M55"/>
    <mergeCell ref="A44:M44"/>
    <mergeCell ref="A41:M41"/>
    <mergeCell ref="A42:M42"/>
    <mergeCell ref="B35:C35"/>
    <mergeCell ref="J34:K34"/>
    <mergeCell ref="A7:M7"/>
    <mergeCell ref="A8:M8"/>
    <mergeCell ref="A10:M10"/>
    <mergeCell ref="A12:M12"/>
    <mergeCell ref="J27:L27"/>
    <mergeCell ref="A26:M26"/>
    <mergeCell ref="B18:D18"/>
    <mergeCell ref="F18:H18"/>
    <mergeCell ref="J18:L18"/>
    <mergeCell ref="B27:D27"/>
  </mergeCells>
  <dataValidations count="3">
    <dataValidation type="decimal" operator="equal" showInputMessage="1" showErrorMessage="1" error="Total Volume cannot exceed Fresh Volume plus Freezer Volume. &#10;&#10;Thank you." sqref="G23 C23">
      <formula1>G21+G22</formula1>
    </dataValidation>
    <dataValidation type="decimal" operator="greaterThan" showInputMessage="1" showErrorMessage="1" error="Please enter a positivie value.&#10;&#10;Thank you." sqref="C20 G20 C14:C15">
      <formula1>0</formula1>
    </dataValidation>
    <dataValidation type="whole" showInputMessage="1" showErrorMessage="1" errorTitle="Error" error="Please select a value between 1 and 30." sqref="C21 G21 C22 G22">
      <formula1>1</formula1>
      <formula2>30</formula2>
    </dataValidation>
  </dataValidations>
  <printOptions horizontalCentered="1"/>
  <pageMargins left="1" right="1" top="1" bottom="1" header="0.5" footer="0.25"/>
  <pageSetup fitToHeight="1" fitToWidth="1" horizontalDpi="600" verticalDpi="600" orientation="portrait" scale="77"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showGridLines="0" zoomScaleSheetLayoutView="90" zoomScalePageLayoutView="0" workbookViewId="0" topLeftCell="A1">
      <selection activeCell="A4" sqref="A4"/>
    </sheetView>
  </sheetViews>
  <sheetFormatPr defaultColWidth="9.140625" defaultRowHeight="12.75"/>
  <cols>
    <col min="1" max="1" width="54.8515625" style="49" bestFit="1" customWidth="1"/>
    <col min="2" max="2" width="9.00390625" style="67" bestFit="1" customWidth="1"/>
    <col min="3" max="3" width="13.8515625" style="68" bestFit="1" customWidth="1"/>
    <col min="4" max="4" width="88.8515625" style="65" bestFit="1" customWidth="1"/>
    <col min="5" max="5" width="3.28125" style="49" customWidth="1"/>
    <col min="6" max="6" width="9.140625" style="98" customWidth="1"/>
    <col min="7" max="7" width="47.57421875" style="91" bestFit="1" customWidth="1"/>
    <col min="8" max="8" width="13.7109375" style="91" bestFit="1" customWidth="1"/>
    <col min="9" max="9" width="8.8515625" style="91" bestFit="1" customWidth="1"/>
    <col min="10" max="10" width="13.140625" style="91" bestFit="1" customWidth="1"/>
    <col min="11" max="22" width="9.140625" style="49" customWidth="1"/>
    <col min="23" max="16384" width="9.140625" style="50" customWidth="1"/>
  </cols>
  <sheetData>
    <row r="1" spans="1:10" ht="15.75">
      <c r="A1" s="208" t="s">
        <v>37</v>
      </c>
      <c r="B1" s="209"/>
      <c r="C1" s="209"/>
      <c r="D1" s="210"/>
      <c r="E1" s="48"/>
      <c r="F1" s="97"/>
      <c r="G1" s="95"/>
      <c r="H1" s="95"/>
      <c r="I1" s="95"/>
      <c r="J1" s="95"/>
    </row>
    <row r="2" spans="1:10" ht="15.75">
      <c r="A2" s="164"/>
      <c r="B2" s="51"/>
      <c r="C2" s="51"/>
      <c r="D2" s="134"/>
      <c r="E2" s="48"/>
      <c r="F2" s="97"/>
      <c r="G2" s="95"/>
      <c r="H2" s="95"/>
      <c r="I2" s="95"/>
      <c r="J2" s="95"/>
    </row>
    <row r="3" spans="1:10" ht="15">
      <c r="A3" s="135" t="s">
        <v>10</v>
      </c>
      <c r="B3" s="211" t="s">
        <v>11</v>
      </c>
      <c r="C3" s="211"/>
      <c r="D3" s="136" t="s">
        <v>12</v>
      </c>
      <c r="F3" s="137"/>
      <c r="G3" s="138"/>
      <c r="H3" s="138"/>
      <c r="I3" s="138"/>
      <c r="J3" s="138"/>
    </row>
    <row r="4" spans="1:10" ht="15">
      <c r="A4" s="71" t="s">
        <v>13</v>
      </c>
      <c r="B4" s="52"/>
      <c r="C4" s="53"/>
      <c r="D4" s="54"/>
      <c r="F4" s="137"/>
      <c r="G4" s="138"/>
      <c r="H4" s="138"/>
      <c r="I4" s="138"/>
      <c r="J4" s="138"/>
    </row>
    <row r="5" spans="1:10" ht="12.75">
      <c r="A5" s="120" t="s">
        <v>5</v>
      </c>
      <c r="B5" s="55"/>
      <c r="C5" s="46"/>
      <c r="D5" s="47"/>
      <c r="F5" s="137"/>
      <c r="G5" s="139" t="s">
        <v>46</v>
      </c>
      <c r="H5" s="140" t="s">
        <v>50</v>
      </c>
      <c r="I5" s="212" t="s">
        <v>49</v>
      </c>
      <c r="J5" s="212"/>
    </row>
    <row r="6" spans="1:10" ht="12.75">
      <c r="A6" s="85" t="s">
        <v>54</v>
      </c>
      <c r="B6" s="88">
        <v>1180</v>
      </c>
      <c r="C6" s="46"/>
      <c r="D6" s="176" t="s">
        <v>75</v>
      </c>
      <c r="E6" s="64"/>
      <c r="F6" s="141">
        <v>1</v>
      </c>
      <c r="G6" s="142"/>
      <c r="H6" s="142"/>
      <c r="I6" s="138">
        <f>G16</f>
        <v>0</v>
      </c>
      <c r="J6" s="138"/>
    </row>
    <row r="7" spans="1:10" ht="14.25">
      <c r="A7" s="85" t="s">
        <v>57</v>
      </c>
      <c r="B7" s="84">
        <v>14.75</v>
      </c>
      <c r="C7" s="46" t="s">
        <v>36</v>
      </c>
      <c r="D7" s="47" t="s">
        <v>76</v>
      </c>
      <c r="E7" s="64"/>
      <c r="F7" s="143">
        <v>1</v>
      </c>
      <c r="G7" s="144" t="s">
        <v>38</v>
      </c>
      <c r="H7" s="145">
        <f aca="true" t="shared" si="0" ref="H7:H13">B13</f>
        <v>380.5446528</v>
      </c>
      <c r="I7" s="146">
        <f aca="true" t="shared" si="1" ref="I7:I13">B28</f>
        <v>475.680816</v>
      </c>
      <c r="J7" s="147"/>
    </row>
    <row r="8" spans="1:10" ht="14.25">
      <c r="A8" s="85" t="s">
        <v>58</v>
      </c>
      <c r="B8" s="84">
        <v>6.76</v>
      </c>
      <c r="C8" s="46" t="s">
        <v>36</v>
      </c>
      <c r="D8" s="47" t="s">
        <v>76</v>
      </c>
      <c r="E8" s="64"/>
      <c r="F8" s="143">
        <v>2</v>
      </c>
      <c r="G8" s="144" t="s">
        <v>39</v>
      </c>
      <c r="H8" s="145">
        <f t="shared" si="0"/>
        <v>380.5446528</v>
      </c>
      <c r="I8" s="146">
        <f t="shared" si="1"/>
        <v>475.680816</v>
      </c>
      <c r="J8" s="147"/>
    </row>
    <row r="9" spans="1:10" ht="14.25">
      <c r="A9" s="85" t="s">
        <v>44</v>
      </c>
      <c r="B9" s="84">
        <f>'Residential Refrigerator Calc'!C21+1.63*'Residential Refrigerator Calc'!C22</f>
        <v>25.7688</v>
      </c>
      <c r="C9" s="46" t="s">
        <v>36</v>
      </c>
      <c r="D9" s="47" t="s">
        <v>55</v>
      </c>
      <c r="E9" s="64"/>
      <c r="F9" s="148">
        <v>3</v>
      </c>
      <c r="G9" s="149" t="s">
        <v>45</v>
      </c>
      <c r="H9" s="145">
        <f t="shared" si="0"/>
        <v>422.827392</v>
      </c>
      <c r="I9" s="146">
        <f t="shared" si="1"/>
        <v>528.53424</v>
      </c>
      <c r="J9" s="147"/>
    </row>
    <row r="10" spans="1:10" ht="12.75">
      <c r="A10" s="85" t="s">
        <v>31</v>
      </c>
      <c r="B10" s="84">
        <v>12</v>
      </c>
      <c r="C10" s="46" t="s">
        <v>14</v>
      </c>
      <c r="D10" s="176" t="s">
        <v>77</v>
      </c>
      <c r="F10" s="143">
        <v>4</v>
      </c>
      <c r="G10" s="150" t="s">
        <v>40</v>
      </c>
      <c r="H10" s="145">
        <f t="shared" si="0"/>
        <v>507.21984640000005</v>
      </c>
      <c r="I10" s="146">
        <f t="shared" si="1"/>
        <v>634.024808</v>
      </c>
      <c r="J10" s="147"/>
    </row>
    <row r="11" spans="1:22" ht="12.75">
      <c r="A11" s="85" t="s">
        <v>48</v>
      </c>
      <c r="B11" s="84"/>
      <c r="C11" s="46"/>
      <c r="D11" s="47"/>
      <c r="E11" s="64"/>
      <c r="F11" s="143">
        <v>5</v>
      </c>
      <c r="G11" s="150" t="s">
        <v>41</v>
      </c>
      <c r="H11" s="145">
        <f t="shared" si="0"/>
        <v>462.029184</v>
      </c>
      <c r="I11" s="146">
        <f t="shared" si="1"/>
        <v>577.53648</v>
      </c>
      <c r="J11" s="147"/>
      <c r="V11" s="50"/>
    </row>
    <row r="12" spans="1:10" ht="12.75">
      <c r="A12" s="165" t="s">
        <v>70</v>
      </c>
      <c r="B12" s="57">
        <f>VLOOKUP(F6,F7:I13,3,FALSE)</f>
        <v>380.5446528</v>
      </c>
      <c r="C12" s="56" t="s">
        <v>47</v>
      </c>
      <c r="D12" s="47" t="s">
        <v>78</v>
      </c>
      <c r="E12" s="64"/>
      <c r="F12" s="148">
        <v>6</v>
      </c>
      <c r="G12" s="150" t="s">
        <v>42</v>
      </c>
      <c r="H12" s="145">
        <f t="shared" si="0"/>
        <v>495.07340800000003</v>
      </c>
      <c r="I12" s="146">
        <f t="shared" si="1"/>
        <v>618.84176</v>
      </c>
      <c r="J12" s="147"/>
    </row>
    <row r="13" spans="1:10" ht="12.75">
      <c r="A13" s="121" t="s">
        <v>38</v>
      </c>
      <c r="B13" s="118">
        <f aca="true" t="shared" si="2" ref="B13:B19">0.8*B28</f>
        <v>380.5446528</v>
      </c>
      <c r="C13" s="56" t="s">
        <v>47</v>
      </c>
      <c r="D13" s="47" t="s">
        <v>78</v>
      </c>
      <c r="F13" s="143">
        <v>7</v>
      </c>
      <c r="G13" s="150" t="s">
        <v>43</v>
      </c>
      <c r="H13" s="145">
        <f t="shared" si="0"/>
        <v>533.011904</v>
      </c>
      <c r="I13" s="146">
        <f t="shared" si="1"/>
        <v>666.26488</v>
      </c>
      <c r="J13" s="147"/>
    </row>
    <row r="14" spans="1:10" ht="12.75">
      <c r="A14" s="121" t="s">
        <v>39</v>
      </c>
      <c r="B14" s="118">
        <f t="shared" si="2"/>
        <v>380.5446528</v>
      </c>
      <c r="C14" s="56" t="s">
        <v>47</v>
      </c>
      <c r="D14" s="47" t="s">
        <v>78</v>
      </c>
      <c r="F14" s="143"/>
      <c r="G14" s="150"/>
      <c r="H14" s="150"/>
      <c r="I14" s="142"/>
      <c r="J14" s="138"/>
    </row>
    <row r="15" spans="1:8" ht="12.75">
      <c r="A15" s="122" t="s">
        <v>45</v>
      </c>
      <c r="B15" s="118">
        <f t="shared" si="2"/>
        <v>422.827392</v>
      </c>
      <c r="C15" s="56" t="s">
        <v>47</v>
      </c>
      <c r="D15" s="47" t="s">
        <v>78</v>
      </c>
      <c r="F15" s="127"/>
      <c r="G15" s="128"/>
      <c r="H15" s="1"/>
    </row>
    <row r="16" spans="1:22" ht="12.75">
      <c r="A16" s="121" t="s">
        <v>40</v>
      </c>
      <c r="B16" s="118">
        <f t="shared" si="2"/>
        <v>507.21984640000005</v>
      </c>
      <c r="C16" s="56" t="s">
        <v>47</v>
      </c>
      <c r="D16" s="47" t="s">
        <v>78</v>
      </c>
      <c r="E16" s="64"/>
      <c r="F16" s="127"/>
      <c r="G16" s="126"/>
      <c r="H16" s="89"/>
      <c r="V16" s="50"/>
    </row>
    <row r="17" spans="1:22" ht="12.75">
      <c r="A17" s="121" t="s">
        <v>41</v>
      </c>
      <c r="B17" s="118">
        <f t="shared" si="2"/>
        <v>462.029184</v>
      </c>
      <c r="C17" s="56" t="s">
        <v>47</v>
      </c>
      <c r="D17" s="47" t="s">
        <v>78</v>
      </c>
      <c r="E17" s="64"/>
      <c r="F17" s="130"/>
      <c r="G17" s="131"/>
      <c r="H17" s="114"/>
      <c r="I17" s="105"/>
      <c r="J17" s="105"/>
      <c r="V17" s="50"/>
    </row>
    <row r="18" spans="1:21" s="107" customFormat="1" ht="12.75">
      <c r="A18" s="121" t="s">
        <v>42</v>
      </c>
      <c r="B18" s="118">
        <f t="shared" si="2"/>
        <v>495.07340800000003</v>
      </c>
      <c r="C18" s="56" t="s">
        <v>47</v>
      </c>
      <c r="D18" s="47" t="s">
        <v>78</v>
      </c>
      <c r="E18" s="104"/>
      <c r="F18" s="132"/>
      <c r="G18" s="133"/>
      <c r="H18" s="96"/>
      <c r="I18" s="91"/>
      <c r="J18" s="91"/>
      <c r="K18" s="106"/>
      <c r="L18" s="106"/>
      <c r="M18" s="106"/>
      <c r="N18" s="106"/>
      <c r="O18" s="106"/>
      <c r="P18" s="106"/>
      <c r="Q18" s="106"/>
      <c r="R18" s="106"/>
      <c r="S18" s="106"/>
      <c r="T18" s="106"/>
      <c r="U18" s="106"/>
    </row>
    <row r="19" spans="1:9" ht="12.75">
      <c r="A19" s="121" t="s">
        <v>43</v>
      </c>
      <c r="B19" s="118">
        <f t="shared" si="2"/>
        <v>533.011904</v>
      </c>
      <c r="C19" s="56" t="s">
        <v>47</v>
      </c>
      <c r="D19" s="47" t="s">
        <v>78</v>
      </c>
      <c r="F19" s="99"/>
      <c r="G19" s="92"/>
      <c r="H19" s="92"/>
      <c r="I19" s="3"/>
    </row>
    <row r="20" spans="1:4" ht="12.75">
      <c r="A20" s="101" t="s">
        <v>56</v>
      </c>
      <c r="B20" s="63"/>
      <c r="C20" s="46"/>
      <c r="D20" s="47"/>
    </row>
    <row r="21" spans="1:4" ht="12.75">
      <c r="A21" s="85" t="s">
        <v>54</v>
      </c>
      <c r="B21" s="89">
        <v>1150</v>
      </c>
      <c r="C21" s="46"/>
      <c r="D21" s="176" t="s">
        <v>79</v>
      </c>
    </row>
    <row r="22" spans="1:4" ht="14.25">
      <c r="A22" s="85" t="s">
        <v>57</v>
      </c>
      <c r="B22" s="84">
        <v>14.75</v>
      </c>
      <c r="C22" s="46" t="s">
        <v>36</v>
      </c>
      <c r="D22" s="47" t="s">
        <v>76</v>
      </c>
    </row>
    <row r="23" spans="1:4" ht="14.25">
      <c r="A23" s="85" t="s">
        <v>58</v>
      </c>
      <c r="B23" s="84">
        <v>6.76</v>
      </c>
      <c r="C23" s="46" t="s">
        <v>36</v>
      </c>
      <c r="D23" s="47" t="s">
        <v>76</v>
      </c>
    </row>
    <row r="24" spans="1:4" ht="14.25">
      <c r="A24" s="85" t="s">
        <v>44</v>
      </c>
      <c r="B24" s="84">
        <f>'Residential Refrigerator Calc'!G21+1.63*'Residential Refrigerator Calc'!G22</f>
        <v>25.7688</v>
      </c>
      <c r="C24" s="46" t="s">
        <v>36</v>
      </c>
      <c r="D24" s="47" t="s">
        <v>55</v>
      </c>
    </row>
    <row r="25" spans="1:4" ht="12.75">
      <c r="A25" s="85" t="s">
        <v>31</v>
      </c>
      <c r="B25" s="57">
        <f>B10</f>
        <v>12</v>
      </c>
      <c r="C25" s="56" t="s">
        <v>14</v>
      </c>
      <c r="D25" s="176" t="s">
        <v>77</v>
      </c>
    </row>
    <row r="26" spans="1:10" ht="12.75">
      <c r="A26" s="123" t="s">
        <v>48</v>
      </c>
      <c r="B26" s="57"/>
      <c r="C26" s="56"/>
      <c r="D26" s="47"/>
      <c r="J26" s="93"/>
    </row>
    <row r="27" spans="1:9" ht="12.75">
      <c r="A27" s="165" t="s">
        <v>70</v>
      </c>
      <c r="B27" s="102">
        <f>VLOOKUP(F6,F7:I13,4,FALSE)</f>
        <v>475.680816</v>
      </c>
      <c r="C27" s="103" t="s">
        <v>47</v>
      </c>
      <c r="D27" s="47" t="s">
        <v>80</v>
      </c>
      <c r="G27" s="93"/>
      <c r="H27" s="93"/>
      <c r="I27" s="93"/>
    </row>
    <row r="28" spans="1:5" ht="12.75">
      <c r="A28" s="121" t="s">
        <v>38</v>
      </c>
      <c r="B28" s="118">
        <f>8.82*$B$24+248.4</f>
        <v>475.680816</v>
      </c>
      <c r="C28" s="56" t="s">
        <v>47</v>
      </c>
      <c r="D28" s="47" t="s">
        <v>80</v>
      </c>
      <c r="E28" s="59"/>
    </row>
    <row r="29" spans="1:4" ht="12.75">
      <c r="A29" s="121" t="s">
        <v>39</v>
      </c>
      <c r="B29" s="118">
        <f>8.82*$B$24+248.4</f>
        <v>475.680816</v>
      </c>
      <c r="C29" s="56" t="s">
        <v>47</v>
      </c>
      <c r="D29" s="47" t="s">
        <v>80</v>
      </c>
    </row>
    <row r="30" spans="1:9" ht="12.75">
      <c r="A30" s="122" t="s">
        <v>45</v>
      </c>
      <c r="B30" s="118">
        <f>9.8*$B$24+276</f>
        <v>528.53424</v>
      </c>
      <c r="C30" s="56" t="s">
        <v>47</v>
      </c>
      <c r="D30" s="47" t="s">
        <v>80</v>
      </c>
      <c r="F30" s="99"/>
      <c r="G30" s="92"/>
      <c r="H30" s="92"/>
      <c r="I30" s="3"/>
    </row>
    <row r="31" spans="1:4" ht="12.75">
      <c r="A31" s="121" t="s">
        <v>40</v>
      </c>
      <c r="B31" s="118">
        <f>4.91*$B$24+507.5</f>
        <v>634.024808</v>
      </c>
      <c r="C31" s="56" t="s">
        <v>47</v>
      </c>
      <c r="D31" s="47" t="s">
        <v>80</v>
      </c>
    </row>
    <row r="32" spans="1:4" ht="12.75">
      <c r="A32" s="121" t="s">
        <v>41</v>
      </c>
      <c r="B32" s="118">
        <f>4.6*$B$24+459</f>
        <v>577.53648</v>
      </c>
      <c r="C32" s="56" t="s">
        <v>47</v>
      </c>
      <c r="D32" s="47" t="s">
        <v>80</v>
      </c>
    </row>
    <row r="33" spans="1:10" ht="12.75">
      <c r="A33" s="121" t="s">
        <v>42</v>
      </c>
      <c r="B33" s="118">
        <f>10.2*$B$24+356</f>
        <v>618.84176</v>
      </c>
      <c r="C33" s="56" t="s">
        <v>47</v>
      </c>
      <c r="D33" s="47" t="s">
        <v>80</v>
      </c>
      <c r="J33" s="94"/>
    </row>
    <row r="34" spans="1:22" s="65" customFormat="1" ht="12.75">
      <c r="A34" s="121" t="s">
        <v>43</v>
      </c>
      <c r="B34" s="118">
        <f>10.1*$B$24+406</f>
        <v>666.26488</v>
      </c>
      <c r="C34" s="56" t="s">
        <v>47</v>
      </c>
      <c r="D34" s="47" t="s">
        <v>80</v>
      </c>
      <c r="E34" s="49"/>
      <c r="F34" s="100"/>
      <c r="G34" s="94"/>
      <c r="H34" s="94"/>
      <c r="I34" s="94"/>
      <c r="J34" s="94"/>
      <c r="K34" s="64"/>
      <c r="L34" s="64"/>
      <c r="M34" s="64"/>
      <c r="N34" s="64"/>
      <c r="O34" s="64"/>
      <c r="P34" s="64"/>
      <c r="Q34" s="64"/>
      <c r="R34" s="64"/>
      <c r="S34" s="64"/>
      <c r="T34" s="64"/>
      <c r="U34" s="64"/>
      <c r="V34" s="64"/>
    </row>
    <row r="35" spans="1:22" s="65" customFormat="1" ht="12.75">
      <c r="A35" s="85"/>
      <c r="B35" s="57"/>
      <c r="C35" s="56"/>
      <c r="D35" s="47"/>
      <c r="E35" s="64"/>
      <c r="F35" s="100"/>
      <c r="G35" s="94"/>
      <c r="H35" s="94"/>
      <c r="I35" s="94"/>
      <c r="J35" s="94"/>
      <c r="K35" s="64"/>
      <c r="L35" s="64"/>
      <c r="M35" s="64"/>
      <c r="N35" s="64"/>
      <c r="O35" s="64"/>
      <c r="P35" s="64"/>
      <c r="Q35" s="64"/>
      <c r="R35" s="64"/>
      <c r="S35" s="64"/>
      <c r="T35" s="64"/>
      <c r="U35" s="64"/>
      <c r="V35" s="64"/>
    </row>
    <row r="36" spans="1:22" s="65" customFormat="1" ht="15">
      <c r="A36" s="86" t="s">
        <v>15</v>
      </c>
      <c r="B36" s="55"/>
      <c r="C36" s="46"/>
      <c r="D36" s="47"/>
      <c r="E36" s="64"/>
      <c r="F36" s="100"/>
      <c r="G36" s="94"/>
      <c r="H36" s="94"/>
      <c r="I36" s="94"/>
      <c r="J36" s="94"/>
      <c r="K36" s="64"/>
      <c r="L36" s="64"/>
      <c r="M36" s="64"/>
      <c r="N36" s="64"/>
      <c r="O36" s="64"/>
      <c r="P36" s="64"/>
      <c r="Q36" s="64"/>
      <c r="R36" s="64"/>
      <c r="S36" s="64"/>
      <c r="T36" s="64"/>
      <c r="U36" s="64"/>
      <c r="V36" s="64"/>
    </row>
    <row r="37" spans="1:22" s="65" customFormat="1" ht="12.75">
      <c r="A37" s="70" t="s">
        <v>34</v>
      </c>
      <c r="B37" s="87">
        <v>24</v>
      </c>
      <c r="C37" s="58" t="s">
        <v>16</v>
      </c>
      <c r="D37" s="176" t="s">
        <v>81</v>
      </c>
      <c r="E37" s="64"/>
      <c r="F37" s="100"/>
      <c r="G37" s="94"/>
      <c r="H37" s="94"/>
      <c r="I37" s="94"/>
      <c r="J37" s="94"/>
      <c r="K37" s="64"/>
      <c r="L37" s="64"/>
      <c r="M37" s="64"/>
      <c r="N37" s="64"/>
      <c r="O37" s="64"/>
      <c r="P37" s="64"/>
      <c r="Q37" s="64"/>
      <c r="R37" s="64"/>
      <c r="S37" s="64"/>
      <c r="T37" s="64"/>
      <c r="U37" s="64"/>
      <c r="V37" s="64"/>
    </row>
    <row r="38" spans="1:22" s="65" customFormat="1" ht="12.75">
      <c r="A38" s="124" t="s">
        <v>32</v>
      </c>
      <c r="B38" s="55">
        <v>365</v>
      </c>
      <c r="C38" s="46" t="s">
        <v>33</v>
      </c>
      <c r="D38" s="176" t="s">
        <v>81</v>
      </c>
      <c r="E38" s="64"/>
      <c r="F38" s="100"/>
      <c r="G38" s="94"/>
      <c r="H38" s="94"/>
      <c r="I38" s="94"/>
      <c r="J38" s="94"/>
      <c r="K38" s="64"/>
      <c r="L38" s="64"/>
      <c r="M38" s="64"/>
      <c r="N38" s="64"/>
      <c r="O38" s="64"/>
      <c r="P38" s="64"/>
      <c r="Q38" s="64"/>
      <c r="R38" s="64"/>
      <c r="S38" s="64"/>
      <c r="T38" s="64"/>
      <c r="U38" s="64"/>
      <c r="V38" s="64"/>
    </row>
    <row r="39" spans="1:22" s="65" customFormat="1" ht="12.75">
      <c r="A39" s="124" t="s">
        <v>35</v>
      </c>
      <c r="B39" s="60">
        <f>B37*365</f>
        <v>8760</v>
      </c>
      <c r="C39" s="58" t="s">
        <v>17</v>
      </c>
      <c r="D39" s="47" t="s">
        <v>18</v>
      </c>
      <c r="E39" s="64"/>
      <c r="F39" s="100"/>
      <c r="G39" s="94"/>
      <c r="H39" s="94"/>
      <c r="I39" s="94"/>
      <c r="J39" s="94"/>
      <c r="K39" s="64"/>
      <c r="L39" s="64"/>
      <c r="M39" s="64"/>
      <c r="N39" s="64"/>
      <c r="O39" s="64"/>
      <c r="P39" s="64"/>
      <c r="Q39" s="64"/>
      <c r="R39" s="64"/>
      <c r="S39" s="64"/>
      <c r="T39" s="64"/>
      <c r="U39" s="64"/>
      <c r="V39" s="64"/>
    </row>
    <row r="40" spans="1:22" s="65" customFormat="1" ht="12.75">
      <c r="A40" s="124"/>
      <c r="B40" s="55"/>
      <c r="C40" s="46"/>
      <c r="D40" s="47"/>
      <c r="E40" s="64"/>
      <c r="F40" s="100"/>
      <c r="G40" s="94"/>
      <c r="H40" s="94"/>
      <c r="I40" s="94"/>
      <c r="J40" s="94"/>
      <c r="K40" s="64"/>
      <c r="L40" s="64"/>
      <c r="M40" s="64"/>
      <c r="N40" s="64"/>
      <c r="O40" s="64"/>
      <c r="P40" s="64"/>
      <c r="Q40" s="64"/>
      <c r="R40" s="64"/>
      <c r="S40" s="64"/>
      <c r="T40" s="64"/>
      <c r="U40" s="64"/>
      <c r="V40" s="64"/>
    </row>
    <row r="41" spans="1:22" s="65" customFormat="1" ht="15">
      <c r="A41" s="125" t="s">
        <v>19</v>
      </c>
      <c r="B41" s="55"/>
      <c r="C41" s="46"/>
      <c r="D41" s="47"/>
      <c r="E41" s="64"/>
      <c r="F41" s="100"/>
      <c r="G41" s="94"/>
      <c r="H41" s="94"/>
      <c r="I41" s="94"/>
      <c r="J41" s="94"/>
      <c r="K41" s="64"/>
      <c r="L41" s="64"/>
      <c r="M41" s="64"/>
      <c r="N41" s="64"/>
      <c r="O41" s="64"/>
      <c r="P41" s="64"/>
      <c r="Q41" s="64"/>
      <c r="R41" s="64"/>
      <c r="S41" s="64"/>
      <c r="T41" s="64"/>
      <c r="U41" s="64"/>
      <c r="V41" s="64"/>
    </row>
    <row r="42" spans="1:22" s="65" customFormat="1" ht="25.5">
      <c r="A42" s="172" t="s">
        <v>20</v>
      </c>
      <c r="B42" s="61">
        <v>0.04</v>
      </c>
      <c r="C42" s="46"/>
      <c r="D42" s="62" t="s">
        <v>21</v>
      </c>
      <c r="E42" s="64"/>
      <c r="F42" s="100"/>
      <c r="G42" s="94"/>
      <c r="H42" s="94"/>
      <c r="I42" s="94"/>
      <c r="J42" s="94"/>
      <c r="K42" s="64"/>
      <c r="L42" s="64"/>
      <c r="M42" s="64"/>
      <c r="N42" s="64"/>
      <c r="O42" s="64"/>
      <c r="P42" s="64"/>
      <c r="Q42" s="64"/>
      <c r="R42" s="64"/>
      <c r="S42" s="64"/>
      <c r="T42" s="64"/>
      <c r="U42" s="64"/>
      <c r="V42" s="64"/>
    </row>
    <row r="43" spans="1:22" s="65" customFormat="1" ht="12.75">
      <c r="A43" s="47"/>
      <c r="B43" s="63"/>
      <c r="C43" s="46"/>
      <c r="D43" s="47"/>
      <c r="E43" s="64"/>
      <c r="F43" s="100"/>
      <c r="G43" s="94"/>
      <c r="H43" s="94"/>
      <c r="I43" s="94"/>
      <c r="J43" s="91"/>
      <c r="K43" s="64"/>
      <c r="L43" s="64"/>
      <c r="M43" s="64"/>
      <c r="N43" s="64"/>
      <c r="O43" s="64"/>
      <c r="P43" s="64"/>
      <c r="Q43" s="64"/>
      <c r="R43" s="64"/>
      <c r="S43" s="64"/>
      <c r="T43" s="64"/>
      <c r="U43" s="64"/>
      <c r="V43" s="64"/>
    </row>
    <row r="44" spans="1:22" s="65" customFormat="1" ht="15">
      <c r="A44" s="69" t="s">
        <v>22</v>
      </c>
      <c r="B44" s="63"/>
      <c r="C44" s="46"/>
      <c r="D44" s="47"/>
      <c r="E44" s="64"/>
      <c r="F44" s="100"/>
      <c r="G44" s="94"/>
      <c r="H44" s="94"/>
      <c r="I44" s="94"/>
      <c r="J44" s="94"/>
      <c r="K44" s="64"/>
      <c r="L44" s="64"/>
      <c r="M44" s="64"/>
      <c r="N44" s="64"/>
      <c r="O44" s="64"/>
      <c r="P44" s="64"/>
      <c r="Q44" s="64"/>
      <c r="R44" s="64"/>
      <c r="S44" s="64"/>
      <c r="T44" s="64"/>
      <c r="U44" s="64"/>
      <c r="V44" s="64"/>
    </row>
    <row r="45" spans="1:22" s="65" customFormat="1" ht="12.75">
      <c r="A45" s="70" t="s">
        <v>73</v>
      </c>
      <c r="B45" s="178">
        <v>0.0953</v>
      </c>
      <c r="C45" s="175" t="s">
        <v>23</v>
      </c>
      <c r="D45" s="213" t="s">
        <v>84</v>
      </c>
      <c r="E45" s="64"/>
      <c r="F45" s="100"/>
      <c r="G45" s="94"/>
      <c r="H45" s="94"/>
      <c r="I45" s="94"/>
      <c r="J45" s="94"/>
      <c r="K45" s="64"/>
      <c r="L45" s="64"/>
      <c r="M45" s="64"/>
      <c r="N45" s="64"/>
      <c r="O45" s="64"/>
      <c r="P45" s="64"/>
      <c r="Q45" s="64"/>
      <c r="R45" s="64"/>
      <c r="S45" s="64"/>
      <c r="T45" s="64"/>
      <c r="U45" s="64"/>
      <c r="V45" s="64"/>
    </row>
    <row r="46" spans="1:22" s="65" customFormat="1" ht="12.75">
      <c r="A46" s="70" t="s">
        <v>74</v>
      </c>
      <c r="B46" s="178">
        <v>0.1089</v>
      </c>
      <c r="C46" s="175" t="s">
        <v>23</v>
      </c>
      <c r="D46" s="213"/>
      <c r="E46" s="64"/>
      <c r="F46" s="100"/>
      <c r="G46" s="94"/>
      <c r="H46" s="94"/>
      <c r="I46" s="94"/>
      <c r="J46" s="94"/>
      <c r="K46" s="64"/>
      <c r="L46" s="64"/>
      <c r="M46" s="64"/>
      <c r="N46" s="64"/>
      <c r="O46" s="64"/>
      <c r="P46" s="64"/>
      <c r="Q46" s="64"/>
      <c r="R46" s="64"/>
      <c r="S46" s="64"/>
      <c r="T46" s="64"/>
      <c r="U46" s="64"/>
      <c r="V46" s="64"/>
    </row>
    <row r="47" spans="1:22" s="65" customFormat="1" ht="12.75">
      <c r="A47" s="47"/>
      <c r="B47" s="63"/>
      <c r="C47" s="46"/>
      <c r="D47" s="47"/>
      <c r="E47" s="64"/>
      <c r="F47" s="100"/>
      <c r="G47" s="94"/>
      <c r="H47" s="94"/>
      <c r="I47" s="94"/>
      <c r="J47" s="94"/>
      <c r="K47" s="64"/>
      <c r="L47" s="64"/>
      <c r="M47" s="64"/>
      <c r="N47" s="64"/>
      <c r="O47" s="64"/>
      <c r="P47" s="64"/>
      <c r="Q47" s="64"/>
      <c r="R47" s="64"/>
      <c r="S47" s="64"/>
      <c r="T47" s="64"/>
      <c r="U47" s="64"/>
      <c r="V47" s="64"/>
    </row>
    <row r="48" spans="1:22" s="65" customFormat="1" ht="15">
      <c r="A48" s="69" t="s">
        <v>24</v>
      </c>
      <c r="B48" s="63"/>
      <c r="C48" s="46"/>
      <c r="D48" s="47"/>
      <c r="E48" s="64"/>
      <c r="F48" s="100"/>
      <c r="G48" s="94"/>
      <c r="H48" s="94"/>
      <c r="I48" s="94"/>
      <c r="J48" s="94"/>
      <c r="K48" s="64"/>
      <c r="L48" s="64"/>
      <c r="M48" s="64"/>
      <c r="N48" s="64"/>
      <c r="O48" s="64"/>
      <c r="P48" s="64"/>
      <c r="Q48" s="64"/>
      <c r="R48" s="64"/>
      <c r="S48" s="64"/>
      <c r="T48" s="64"/>
      <c r="U48" s="64"/>
      <c r="V48" s="64"/>
    </row>
    <row r="49" spans="1:22" s="65" customFormat="1" ht="15.75">
      <c r="A49" s="70" t="s">
        <v>25</v>
      </c>
      <c r="B49" s="63">
        <v>1.54</v>
      </c>
      <c r="C49" s="46" t="s">
        <v>51</v>
      </c>
      <c r="D49" s="179" t="s">
        <v>85</v>
      </c>
      <c r="E49" s="64"/>
      <c r="F49" s="100"/>
      <c r="G49" s="94"/>
      <c r="H49" s="94"/>
      <c r="I49" s="94"/>
      <c r="J49" s="94"/>
      <c r="K49" s="64"/>
      <c r="L49" s="64"/>
      <c r="M49" s="64"/>
      <c r="N49" s="64"/>
      <c r="O49" s="64"/>
      <c r="P49" s="64"/>
      <c r="Q49" s="64"/>
      <c r="R49" s="64"/>
      <c r="S49" s="64"/>
      <c r="T49" s="64"/>
      <c r="U49" s="64"/>
      <c r="V49" s="64"/>
    </row>
    <row r="50" spans="1:22" s="65" customFormat="1" ht="12" customHeight="1">
      <c r="A50" s="47"/>
      <c r="B50" s="63"/>
      <c r="C50" s="46"/>
      <c r="D50" s="47"/>
      <c r="E50" s="64"/>
      <c r="F50" s="100"/>
      <c r="G50" s="94"/>
      <c r="H50" s="94"/>
      <c r="I50" s="94"/>
      <c r="J50" s="91"/>
      <c r="K50" s="64"/>
      <c r="L50" s="64"/>
      <c r="M50" s="64"/>
      <c r="N50" s="64"/>
      <c r="O50" s="64"/>
      <c r="P50" s="64"/>
      <c r="Q50" s="64"/>
      <c r="R50" s="64"/>
      <c r="S50" s="64"/>
      <c r="T50" s="64"/>
      <c r="U50" s="64"/>
      <c r="V50" s="64"/>
    </row>
    <row r="51" spans="1:5" ht="16.5">
      <c r="A51" s="69" t="s">
        <v>27</v>
      </c>
      <c r="B51" s="66"/>
      <c r="C51" s="46"/>
      <c r="D51" s="47"/>
      <c r="E51" s="64"/>
    </row>
    <row r="52" spans="1:4" ht="15.75">
      <c r="A52" s="180" t="s">
        <v>86</v>
      </c>
      <c r="B52" s="181">
        <v>10347</v>
      </c>
      <c r="C52" s="175" t="s">
        <v>87</v>
      </c>
      <c r="D52" s="206" t="s">
        <v>88</v>
      </c>
    </row>
    <row r="53" spans="1:4" ht="15.75">
      <c r="A53" s="182" t="s">
        <v>89</v>
      </c>
      <c r="B53" s="183">
        <v>11244</v>
      </c>
      <c r="C53" s="184" t="s">
        <v>87</v>
      </c>
      <c r="D53" s="207"/>
    </row>
    <row r="54" ht="12.75">
      <c r="A54" s="64"/>
    </row>
    <row r="55" spans="1:4" ht="12.75">
      <c r="A55" s="177" t="s">
        <v>82</v>
      </c>
      <c r="B55" s="173"/>
      <c r="C55" s="173"/>
      <c r="D55" s="173"/>
    </row>
    <row r="56" spans="1:4" ht="12.75">
      <c r="A56" s="94" t="s">
        <v>83</v>
      </c>
      <c r="B56" s="174"/>
      <c r="C56" s="174"/>
      <c r="D56" s="174"/>
    </row>
  </sheetData>
  <sheetProtection/>
  <mergeCells count="5">
    <mergeCell ref="D52:D53"/>
    <mergeCell ref="A1:D1"/>
    <mergeCell ref="B3:C3"/>
    <mergeCell ref="I5:J5"/>
    <mergeCell ref="D45:D46"/>
  </mergeCells>
  <hyperlinks>
    <hyperlink ref="B56" r:id="rId1" display="mailto:Escalcs@cadmusgroup.com"/>
  </hyperlinks>
  <printOptions horizontalCentered="1"/>
  <pageMargins left="0.25" right="0.25" top="1" bottom="1" header="0.5" footer="0.5"/>
  <pageSetup fitToHeight="1" fitToWidth="1" horizontalDpi="600" verticalDpi="600" orientation="portrait"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Juliette Juillerat</cp:lastModifiedBy>
  <cp:lastPrinted>2009-04-29T04:19:19Z</cp:lastPrinted>
  <dcterms:created xsi:type="dcterms:W3CDTF">2004-07-12T13:20:55Z</dcterms:created>
  <dcterms:modified xsi:type="dcterms:W3CDTF">2012-02-07T13:19:02Z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